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d.docs.live.net/a13b74a33fb163b4/Desktop/年末調整エクセルファイルＨＰ/"/>
    </mc:Choice>
  </mc:AlternateContent>
  <xr:revisionPtr revIDLastSave="949" documentId="14_{E548D0E2-6AA4-4A35-A338-AFBF684D5FD2}" xr6:coauthVersionLast="47" xr6:coauthVersionMax="47" xr10:uidLastSave="{F054E405-85AC-4A2F-B193-0276CAF5CB30}"/>
  <bookViews>
    <workbookView xWindow="1950" yWindow="720" windowWidth="16890" windowHeight="10800" tabRatio="811" activeTab="2" xr2:uid="{00000000-000D-0000-FFFF-FFFF00000000}"/>
  </bookViews>
  <sheets>
    <sheet name="設定" sheetId="11" r:id="rId1"/>
    <sheet name="①入力(基礎控除)" sheetId="22" r:id="rId2"/>
    <sheet name="②印刷(基礎控除)" sheetId="24" r:id="rId3"/>
    <sheet name="③入力（生命保険）" sheetId="2" r:id="rId4"/>
    <sheet name="④入力（地震・社会・小規模共済等）" sheetId="4" r:id="rId5"/>
    <sheet name="⑤印刷（保険控除）" sheetId="1" r:id="rId6"/>
  </sheets>
  <definedNames>
    <definedName name="_xlnm.Print_Area" localSheetId="1">'①入力(基礎控除)'!$A$1:$P$43</definedName>
    <definedName name="_xlnm.Print_Area" localSheetId="2">'②印刷(基礎控除)'!$T$48:$AI$148</definedName>
    <definedName name="_xlnm.Print_Area" localSheetId="3">'③入力（生命保険）'!$A$1:$AH$18</definedName>
    <definedName name="_xlnm.Print_Area" localSheetId="4">'④入力（地震・社会・小規模共済等）'!$A$1:$N$48</definedName>
    <definedName name="_xlnm.Print_Area" localSheetId="5">'⑤印刷（保険控除）'!$F$1:$BB$100</definedName>
    <definedName name="社保入力">'④入力（地震・社会・小規模共済等）'!$B$39:$G$49</definedName>
    <definedName name="小規模入力">'④入力（地震・社会・小規模共済等）'!$B$14:$F$18</definedName>
    <definedName name="新旧">'⑤印刷（保険控除）'!$CW$2:$CX$4</definedName>
    <definedName name="地震入力">'④入力（地震・社会・小規模共済等）'!$B$24:$L$34</definedName>
    <definedName name="入力一般">'③入力（生命保険）'!$K$7:$AJ$27</definedName>
    <definedName name="入力介護">'③入力（生命保険）'!$L$7:$AJ$27</definedName>
    <definedName name="入力年金">'③入力（生命保険）'!$M$7:$AJ$27</definedName>
    <definedName name="入力年金２">'③入力（生命保険）'!$AD$7:$AK$27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2" i="2" l="1"/>
  <c r="AB20" i="2"/>
  <c r="AA20" i="2"/>
  <c r="Z20" i="2"/>
  <c r="Y20" i="2"/>
  <c r="X20" i="2"/>
  <c r="AB19" i="2"/>
  <c r="AA19" i="2"/>
  <c r="Z19" i="2"/>
  <c r="Y19" i="2"/>
  <c r="X19" i="2"/>
  <c r="AB16" i="2"/>
  <c r="AA16" i="2"/>
  <c r="Z16" i="2"/>
  <c r="Y16" i="2"/>
  <c r="X16" i="2"/>
  <c r="AB15" i="2"/>
  <c r="AA15" i="2"/>
  <c r="Z15" i="2"/>
  <c r="Y15" i="2"/>
  <c r="X15" i="2"/>
  <c r="AB13" i="2"/>
  <c r="AA13" i="2"/>
  <c r="Z13" i="2"/>
  <c r="Y13" i="2"/>
  <c r="X13" i="2"/>
  <c r="AB12" i="2"/>
  <c r="AA12" i="2"/>
  <c r="Z12" i="2"/>
  <c r="Y12" i="2"/>
  <c r="X12" i="2"/>
  <c r="AB10" i="2"/>
  <c r="AA10" i="2"/>
  <c r="Z10" i="2"/>
  <c r="Y10" i="2"/>
  <c r="X10" i="2"/>
  <c r="AB9" i="2"/>
  <c r="AA9" i="2"/>
  <c r="Z9" i="2"/>
  <c r="Y9" i="2"/>
  <c r="X9" i="2"/>
  <c r="M20" i="2"/>
  <c r="L20" i="2"/>
  <c r="K20" i="2"/>
  <c r="M19" i="2"/>
  <c r="L19" i="2"/>
  <c r="K19" i="2"/>
  <c r="M16" i="2"/>
  <c r="L16" i="2"/>
  <c r="K16" i="2"/>
  <c r="M15" i="2"/>
  <c r="L15" i="2"/>
  <c r="K15" i="2"/>
  <c r="M13" i="2"/>
  <c r="L13" i="2"/>
  <c r="K13" i="2"/>
  <c r="M12" i="2"/>
  <c r="L12" i="2"/>
  <c r="K12" i="2"/>
  <c r="M10" i="2"/>
  <c r="L10" i="2"/>
  <c r="K10" i="2"/>
  <c r="M9" i="2"/>
  <c r="L9" i="2"/>
  <c r="K9" i="2"/>
  <c r="B58" i="22"/>
  <c r="B6" i="22" l="1"/>
  <c r="H7" i="22"/>
  <c r="K26" i="24"/>
  <c r="B27" i="4" l="1"/>
  <c r="DJ48" i="24"/>
  <c r="B59" i="24"/>
  <c r="BO9" i="1"/>
  <c r="DF9" i="1" s="1"/>
  <c r="G68" i="22" l="1"/>
  <c r="G69" i="22"/>
  <c r="G67" i="22"/>
  <c r="EK17" i="24"/>
  <c r="EE17" i="24"/>
  <c r="EE23" i="24" s="1"/>
  <c r="ED16" i="24"/>
  <c r="EF15" i="24"/>
  <c r="ED15" i="24"/>
  <c r="EJ16" i="24"/>
  <c r="EL15" i="24"/>
  <c r="EJ15" i="24"/>
  <c r="EC13" i="24"/>
  <c r="ED12" i="24"/>
  <c r="ED13" i="24" s="1"/>
  <c r="EC12" i="24"/>
  <c r="EE11" i="24"/>
  <c r="EE12" i="24" s="1"/>
  <c r="EE13" i="24" s="1"/>
  <c r="EC11" i="24"/>
  <c r="EE5" i="24"/>
  <c r="EE6" i="24" s="1"/>
  <c r="ED5" i="24"/>
  <c r="ED6" i="24" s="1"/>
  <c r="EG23" i="24" l="1"/>
  <c r="EK23" i="24"/>
  <c r="EM23" i="24" s="1"/>
  <c r="EK24" i="24"/>
  <c r="EM24" i="24" s="1"/>
  <c r="EE24" i="24"/>
  <c r="EG24" i="24" s="1"/>
  <c r="EF16" i="24"/>
  <c r="EL16" i="24"/>
  <c r="EI23" i="24" s="1"/>
  <c r="EF11" i="24"/>
  <c r="EK25" i="24" s="1"/>
  <c r="EM25" i="24" s="1"/>
  <c r="EE25" i="24" l="1"/>
  <c r="EG25" i="24" s="1"/>
  <c r="EC22" i="24"/>
  <c r="EE22" i="24" s="1"/>
  <c r="EG22" i="24" s="1"/>
  <c r="EI22" i="24"/>
  <c r="EK22" i="24" s="1"/>
  <c r="EM22" i="24" s="1"/>
  <c r="EC23" i="24"/>
  <c r="EF12" i="24"/>
  <c r="EF13" i="24" s="1"/>
  <c r="EG11" i="24"/>
  <c r="EG12" i="24" l="1"/>
  <c r="EG13" i="24" s="1"/>
  <c r="EE26" i="24"/>
  <c r="EG26" i="24" s="1"/>
  <c r="EF28" i="24" s="1"/>
  <c r="H60" i="24" s="1"/>
  <c r="EK26" i="24"/>
  <c r="EM26" i="24" s="1"/>
  <c r="EL28" i="24" s="1"/>
  <c r="V24" i="4" l="1"/>
  <c r="U24" i="4"/>
  <c r="U23" i="4"/>
  <c r="T23" i="4"/>
  <c r="U25" i="4"/>
  <c r="V25" i="4"/>
  <c r="U26" i="4"/>
  <c r="V26" i="4"/>
  <c r="U27" i="4"/>
  <c r="V27" i="4"/>
  <c r="T25" i="4"/>
  <c r="T26" i="4"/>
  <c r="T27" i="4"/>
  <c r="T24" i="4"/>
  <c r="AK39" i="2"/>
  <c r="AI35" i="2"/>
  <c r="AL41" i="2"/>
  <c r="AJ41" i="2"/>
  <c r="AE35" i="2"/>
  <c r="AA30" i="2"/>
  <c r="CD12" i="1" s="1"/>
  <c r="AA29" i="2"/>
  <c r="AA28" i="2"/>
  <c r="AD28" i="2"/>
  <c r="AE28" i="2"/>
  <c r="AF28" i="2"/>
  <c r="AG28" i="2"/>
  <c r="AH28" i="2"/>
  <c r="AI28" i="2"/>
  <c r="AJ28" i="2"/>
  <c r="AK28" i="2"/>
  <c r="AD29" i="2"/>
  <c r="AE29" i="2"/>
  <c r="AF29" i="2"/>
  <c r="AG29" i="2"/>
  <c r="AH29" i="2"/>
  <c r="AI29" i="2"/>
  <c r="AJ29" i="2"/>
  <c r="AK29" i="2"/>
  <c r="AI30" i="2"/>
  <c r="AJ30" i="2"/>
  <c r="AK30" i="2"/>
  <c r="AE30" i="2"/>
  <c r="AF30" i="2"/>
  <c r="AG30" i="2"/>
  <c r="AH30" i="2"/>
  <c r="AD30" i="2"/>
  <c r="M30" i="2"/>
  <c r="D7" i="2"/>
  <c r="K7" i="2" s="1"/>
  <c r="F7" i="2"/>
  <c r="E7" i="2"/>
  <c r="S53" i="2"/>
  <c r="U54" i="2"/>
  <c r="U53" i="2"/>
  <c r="AC28" i="2"/>
  <c r="AC29" i="2"/>
  <c r="AC30" i="2"/>
  <c r="N28" i="2"/>
  <c r="O28" i="2"/>
  <c r="P28" i="2"/>
  <c r="Q28" i="2"/>
  <c r="N29" i="2"/>
  <c r="O29" i="2"/>
  <c r="P29" i="2"/>
  <c r="Q29" i="2"/>
  <c r="N30" i="2"/>
  <c r="O30" i="2"/>
  <c r="P30" i="2"/>
  <c r="Q30" i="2"/>
  <c r="N41" i="24"/>
  <c r="K17" i="24"/>
  <c r="O7" i="24"/>
  <c r="M73" i="24" s="1"/>
  <c r="K7" i="24"/>
  <c r="M57" i="24" s="1"/>
  <c r="O13" i="24"/>
  <c r="DI52" i="24" s="1"/>
  <c r="DD52" i="24" s="1"/>
  <c r="O14" i="24"/>
  <c r="O15" i="24"/>
  <c r="DI54" i="24" s="1"/>
  <c r="DD54" i="24" s="1"/>
  <c r="O12" i="24"/>
  <c r="P12" i="22"/>
  <c r="P13" i="22"/>
  <c r="P14" i="22"/>
  <c r="P11" i="22"/>
  <c r="DM54" i="24"/>
  <c r="CK96" i="24" s="1"/>
  <c r="O37" i="24"/>
  <c r="DM51" i="24" s="1"/>
  <c r="DM52" i="24" s="1"/>
  <c r="CK98" i="24" s="1"/>
  <c r="O34" i="24"/>
  <c r="DQ53" i="24" s="1"/>
  <c r="BQ98" i="24" s="1"/>
  <c r="O33" i="24"/>
  <c r="O32" i="24"/>
  <c r="DQ55" i="24" s="1"/>
  <c r="CF98" i="24" s="1"/>
  <c r="O31" i="24"/>
  <c r="DQ54" i="24" s="1"/>
  <c r="CC98" i="24" s="1"/>
  <c r="O30" i="24"/>
  <c r="DQ52" i="24" s="1"/>
  <c r="CC96" i="24" s="1"/>
  <c r="O29" i="24"/>
  <c r="O28" i="24"/>
  <c r="DQ49" i="24" s="1"/>
  <c r="BI97" i="24" s="1"/>
  <c r="O27" i="24"/>
  <c r="DQ50" i="24" s="1"/>
  <c r="BI98" i="24" s="1"/>
  <c r="DI53" i="24"/>
  <c r="DD53" i="24" s="1"/>
  <c r="K33" i="24"/>
  <c r="K32" i="24"/>
  <c r="K29" i="24"/>
  <c r="L25" i="24"/>
  <c r="K27" i="24"/>
  <c r="EA18" i="24"/>
  <c r="DZ28" i="24" s="1"/>
  <c r="EA28" i="24" s="1"/>
  <c r="K20" i="24"/>
  <c r="DC28" i="24" s="1"/>
  <c r="K15" i="24"/>
  <c r="K14" i="24"/>
  <c r="K13" i="24"/>
  <c r="G30" i="24"/>
  <c r="G27" i="24"/>
  <c r="C26" i="24"/>
  <c r="G22" i="24"/>
  <c r="G19" i="24"/>
  <c r="AW69" i="24" s="1"/>
  <c r="C35" i="24"/>
  <c r="F51" i="24" s="1"/>
  <c r="D31" i="24"/>
  <c r="D29" i="24"/>
  <c r="B14" i="24"/>
  <c r="C9" i="24"/>
  <c r="BR55" i="24" s="1"/>
  <c r="G6" i="24"/>
  <c r="BR52" i="24" s="1"/>
  <c r="C6" i="24"/>
  <c r="BR53" i="24" s="1"/>
  <c r="B72" i="24"/>
  <c r="B65" i="24"/>
  <c r="D64" i="24"/>
  <c r="B62" i="24"/>
  <c r="B61" i="24"/>
  <c r="B60" i="24"/>
  <c r="C57" i="24"/>
  <c r="B55" i="24"/>
  <c r="DH54" i="24"/>
  <c r="B54" i="24"/>
  <c r="DH53" i="24"/>
  <c r="B53" i="24"/>
  <c r="DH52" i="24"/>
  <c r="DQ51" i="24"/>
  <c r="DH51" i="24"/>
  <c r="DK48" i="24"/>
  <c r="DM48" i="24"/>
  <c r="DL47" i="24"/>
  <c r="DK47" i="24"/>
  <c r="DM47" i="24"/>
  <c r="DL45" i="24"/>
  <c r="DD46" i="24"/>
  <c r="DC39" i="24"/>
  <c r="DC40" i="24" s="1"/>
  <c r="DC41" i="24" s="1"/>
  <c r="DV38" i="24"/>
  <c r="DU38" i="24"/>
  <c r="DT38" i="24"/>
  <c r="DS38" i="24"/>
  <c r="DR38" i="24"/>
  <c r="DQ38" i="24"/>
  <c r="DP38" i="24"/>
  <c r="DO38" i="24"/>
  <c r="DD38" i="24"/>
  <c r="DW37" i="24"/>
  <c r="DW38" i="24" s="1"/>
  <c r="DD37" i="24"/>
  <c r="K24" i="24"/>
  <c r="B40" i="4"/>
  <c r="B41" i="4"/>
  <c r="B42" i="4"/>
  <c r="B43" i="4"/>
  <c r="B44" i="4"/>
  <c r="B45" i="4"/>
  <c r="B46" i="4"/>
  <c r="B47" i="4"/>
  <c r="B48" i="4"/>
  <c r="B39" i="4"/>
  <c r="L27" i="4"/>
  <c r="L28" i="4"/>
  <c r="L29" i="4"/>
  <c r="L30" i="4"/>
  <c r="L31" i="4"/>
  <c r="L32" i="4"/>
  <c r="L33" i="4"/>
  <c r="T45" i="4"/>
  <c r="R20" i="4"/>
  <c r="B26" i="4"/>
  <c r="L26" i="4" s="1"/>
  <c r="B28" i="4"/>
  <c r="B29" i="4"/>
  <c r="B30" i="4"/>
  <c r="B31" i="4"/>
  <c r="B32" i="4"/>
  <c r="B33" i="4"/>
  <c r="B24" i="4"/>
  <c r="L24" i="4" s="1"/>
  <c r="U52" i="2"/>
  <c r="U69" i="2" s="1"/>
  <c r="R28" i="2"/>
  <c r="R29" i="2"/>
  <c r="R30" i="2"/>
  <c r="B71" i="22"/>
  <c r="B64" i="22"/>
  <c r="F50" i="22"/>
  <c r="K55" i="22"/>
  <c r="W54" i="2"/>
  <c r="W55" i="2"/>
  <c r="W56" i="2"/>
  <c r="W57" i="2"/>
  <c r="W58" i="2"/>
  <c r="W59" i="2"/>
  <c r="W60" i="2"/>
  <c r="W61" i="2"/>
  <c r="W62" i="2"/>
  <c r="W63" i="2"/>
  <c r="W64" i="2"/>
  <c r="U55" i="2"/>
  <c r="U56" i="2"/>
  <c r="U57" i="2"/>
  <c r="U58" i="2"/>
  <c r="U59" i="2"/>
  <c r="U60" i="2"/>
  <c r="U61" i="2"/>
  <c r="U62" i="2"/>
  <c r="U63" i="2"/>
  <c r="U64" i="2"/>
  <c r="Y53" i="2"/>
  <c r="W53" i="2"/>
  <c r="D3" i="11"/>
  <c r="I7" i="2" l="1"/>
  <c r="E8" i="2"/>
  <c r="G7" i="2"/>
  <c r="BQ68" i="24"/>
  <c r="BT71" i="24"/>
  <c r="BR71" i="24" s="1"/>
  <c r="DI51" i="24"/>
  <c r="DD51" i="24" s="1"/>
  <c r="DD55" i="24" s="1"/>
  <c r="DR52" i="24"/>
  <c r="CH93" i="24" s="1"/>
  <c r="F16" i="24"/>
  <c r="DD39" i="24"/>
  <c r="K53" i="24"/>
  <c r="K56" i="24"/>
  <c r="BY71" i="24" s="1"/>
  <c r="E9" i="2"/>
  <c r="D8" i="2"/>
  <c r="AC7" i="2"/>
  <c r="AD7" i="2"/>
  <c r="H7" i="2"/>
  <c r="F8" i="2"/>
  <c r="BY60" i="24"/>
  <c r="H61" i="24"/>
  <c r="BC73" i="24" s="1"/>
  <c r="CB60" i="24"/>
  <c r="AX72" i="24"/>
  <c r="AV72" i="24" s="1"/>
  <c r="BZ96" i="24"/>
  <c r="BR96" i="24"/>
  <c r="BX96" i="24"/>
  <c r="K57" i="24"/>
  <c r="BY73" i="24" s="1"/>
  <c r="M65" i="24"/>
  <c r="BY96" i="24"/>
  <c r="BW60" i="24"/>
  <c r="DC29" i="24"/>
  <c r="CI60" i="24" s="1"/>
  <c r="DJ53" i="24"/>
  <c r="AP96" i="24" s="1"/>
  <c r="EA2" i="24"/>
  <c r="DZ12" i="24" s="1"/>
  <c r="EA12" i="24" s="1"/>
  <c r="CA60" i="24"/>
  <c r="AW68" i="24"/>
  <c r="BV96" i="24"/>
  <c r="DJ54" i="24"/>
  <c r="AP97" i="24" s="1"/>
  <c r="CG60" i="24"/>
  <c r="CA96" i="24"/>
  <c r="BQ96" i="24"/>
  <c r="EA22" i="24"/>
  <c r="DZ29" i="24"/>
  <c r="EA29" i="24" s="1"/>
  <c r="EA30" i="24"/>
  <c r="EA31" i="24"/>
  <c r="DZ27" i="24"/>
  <c r="EA27" i="24" s="1"/>
  <c r="BS96" i="24"/>
  <c r="CD60" i="24"/>
  <c r="BU96" i="24"/>
  <c r="CC60" i="24"/>
  <c r="BL63" i="24"/>
  <c r="CE60" i="24"/>
  <c r="BW96" i="24"/>
  <c r="DD41" i="24"/>
  <c r="DC42" i="24"/>
  <c r="DJ52" i="24"/>
  <c r="AP98" i="24" s="1"/>
  <c r="BX60" i="24"/>
  <c r="CF60" i="24"/>
  <c r="BL62" i="24"/>
  <c r="BT96" i="24"/>
  <c r="CB96" i="24"/>
  <c r="DD40" i="24"/>
  <c r="M68" i="24"/>
  <c r="CS59" i="24" s="1"/>
  <c r="BZ60" i="24"/>
  <c r="CH60" i="24"/>
  <c r="BW63" i="24"/>
  <c r="B25" i="4"/>
  <c r="L25" i="4" s="1"/>
  <c r="X7" i="2" l="1"/>
  <c r="Y7" i="2"/>
  <c r="L7" i="2"/>
  <c r="H9" i="2"/>
  <c r="E10" i="2"/>
  <c r="L8" i="2" s="1"/>
  <c r="H8" i="2"/>
  <c r="G8" i="2"/>
  <c r="DJ51" i="24"/>
  <c r="AP95" i="24" s="1"/>
  <c r="EA19" i="24"/>
  <c r="K55" i="24" s="1"/>
  <c r="BY68" i="24" s="1"/>
  <c r="D9" i="2"/>
  <c r="K8" i="2" s="1"/>
  <c r="F9" i="2"/>
  <c r="M7" i="2" s="1"/>
  <c r="E11" i="2"/>
  <c r="AD8" i="2"/>
  <c r="AC8" i="2"/>
  <c r="I8" i="2"/>
  <c r="DZ14" i="24"/>
  <c r="EA14" i="24" s="1"/>
  <c r="EA15" i="24"/>
  <c r="DZ13" i="24"/>
  <c r="EA13" i="24" s="1"/>
  <c r="EA7" i="24"/>
  <c r="EA16" i="24"/>
  <c r="DC43" i="24"/>
  <c r="DD42" i="24"/>
  <c r="H59" i="22"/>
  <c r="M78" i="24"/>
  <c r="Z7" i="2" l="1"/>
  <c r="AC9" i="2"/>
  <c r="E12" i="2"/>
  <c r="H10" i="2"/>
  <c r="Z8" i="2" s="1"/>
  <c r="G9" i="2"/>
  <c r="X8" i="2" s="1"/>
  <c r="D10" i="2"/>
  <c r="K53" i="22"/>
  <c r="D11" i="2"/>
  <c r="F10" i="2"/>
  <c r="M8" i="2" s="1"/>
  <c r="H11" i="2"/>
  <c r="E13" i="2"/>
  <c r="AD9" i="2"/>
  <c r="I9" i="2"/>
  <c r="AA7" i="2" s="1"/>
  <c r="M80" i="24"/>
  <c r="J83" i="22"/>
  <c r="EA3" i="24"/>
  <c r="BC72" i="24"/>
  <c r="DS7" i="24"/>
  <c r="DC44" i="24"/>
  <c r="DD43" i="24"/>
  <c r="Y8" i="2" l="1"/>
  <c r="AB7" i="2"/>
  <c r="L11" i="2"/>
  <c r="H12" i="2"/>
  <c r="AK8" i="2"/>
  <c r="G11" i="2"/>
  <c r="G10" i="2"/>
  <c r="D12" i="2"/>
  <c r="D13" i="2" s="1"/>
  <c r="EA5" i="24"/>
  <c r="AI7" i="2"/>
  <c r="AJ7" i="2" s="1"/>
  <c r="I10" i="2"/>
  <c r="AB8" i="2" s="1"/>
  <c r="AD10" i="2"/>
  <c r="AC10" i="2"/>
  <c r="F11" i="2"/>
  <c r="M11" i="2" s="1"/>
  <c r="H13" i="2"/>
  <c r="E14" i="2"/>
  <c r="L14" i="2" s="1"/>
  <c r="AK7" i="2"/>
  <c r="DS4" i="24"/>
  <c r="EA4" i="24" s="1"/>
  <c r="H34" i="24" s="1"/>
  <c r="H33" i="22" s="1"/>
  <c r="J85" i="22"/>
  <c r="DD44" i="24"/>
  <c r="DC45" i="24"/>
  <c r="DD45" i="24" s="1"/>
  <c r="K54" i="22"/>
  <c r="Z11" i="2" l="1"/>
  <c r="AA8" i="2"/>
  <c r="K11" i="2"/>
  <c r="AK9" i="2"/>
  <c r="G12" i="2"/>
  <c r="H59" i="24"/>
  <c r="BC69" i="24" s="1"/>
  <c r="BC75" i="24" s="1"/>
  <c r="H35" i="24"/>
  <c r="H34" i="22" s="1"/>
  <c r="AI8" i="2"/>
  <c r="AJ8" i="2" s="1"/>
  <c r="G13" i="2"/>
  <c r="F12" i="2"/>
  <c r="AD11" i="2"/>
  <c r="I11" i="2"/>
  <c r="AC11" i="2"/>
  <c r="E15" i="2"/>
  <c r="H14" i="2"/>
  <c r="Z14" i="2" s="1"/>
  <c r="D14" i="2"/>
  <c r="K58" i="24"/>
  <c r="BY75" i="24" s="1"/>
  <c r="O2" i="22"/>
  <c r="K2" i="22"/>
  <c r="K2" i="24" s="1"/>
  <c r="O1" i="22"/>
  <c r="K1" i="22"/>
  <c r="K1" i="24" s="1"/>
  <c r="AO53" i="24" s="1"/>
  <c r="K51" i="22"/>
  <c r="H60" i="22"/>
  <c r="J80" i="22"/>
  <c r="K60" i="22"/>
  <c r="J70" i="22"/>
  <c r="C56" i="22"/>
  <c r="K35" i="22"/>
  <c r="Y11" i="2" l="1"/>
  <c r="X11" i="2"/>
  <c r="AA11" i="2"/>
  <c r="AB11" i="2"/>
  <c r="F13" i="2"/>
  <c r="AC13" i="2" s="1"/>
  <c r="AK10" i="2"/>
  <c r="D15" i="2"/>
  <c r="O1" i="24"/>
  <c r="AZ55" i="24" s="1"/>
  <c r="FL6" i="1"/>
  <c r="O2" i="24"/>
  <c r="AZ52" i="24" s="1"/>
  <c r="FL2" i="1"/>
  <c r="H62" i="24"/>
  <c r="DN30" i="24" s="1"/>
  <c r="E16" i="2"/>
  <c r="AI9" i="2"/>
  <c r="D16" i="2"/>
  <c r="AK11" i="2"/>
  <c r="F14" i="2"/>
  <c r="AD12" i="2"/>
  <c r="I12" i="2"/>
  <c r="AC12" i="2"/>
  <c r="H15" i="2"/>
  <c r="G14" i="2"/>
  <c r="H58" i="22"/>
  <c r="BJ53" i="24"/>
  <c r="BC53" i="24"/>
  <c r="BF53" i="24"/>
  <c r="BI53" i="24"/>
  <c r="BB53" i="24"/>
  <c r="BH53" i="24"/>
  <c r="BA53" i="24"/>
  <c r="BK53" i="24"/>
  <c r="BG53" i="24"/>
  <c r="AZ53" i="24"/>
  <c r="BL53" i="24"/>
  <c r="BD53" i="24"/>
  <c r="BE53" i="24"/>
  <c r="CZ73" i="24"/>
  <c r="CZ67" i="24"/>
  <c r="CZ69" i="24"/>
  <c r="CZ71" i="24"/>
  <c r="J73" i="22"/>
  <c r="K14" i="2" l="1"/>
  <c r="I13" i="2"/>
  <c r="AD13" i="2"/>
  <c r="AK12" i="2"/>
  <c r="D17" i="2"/>
  <c r="K17" i="2" s="1"/>
  <c r="G15" i="2"/>
  <c r="H33" i="24"/>
  <c r="H32" i="22" s="1"/>
  <c r="DN31" i="24"/>
  <c r="DN33" i="24"/>
  <c r="DN32" i="24"/>
  <c r="DN27" i="24"/>
  <c r="DN28" i="24"/>
  <c r="DN29" i="24"/>
  <c r="AI10" i="2"/>
  <c r="AI11" i="2" s="1"/>
  <c r="AJ11" i="2" s="1"/>
  <c r="E17" i="2"/>
  <c r="H16" i="2"/>
  <c r="AJ9" i="2"/>
  <c r="AD14" i="2"/>
  <c r="I14" i="2"/>
  <c r="G16" i="2"/>
  <c r="D19" i="2"/>
  <c r="F15" i="2"/>
  <c r="AC14" i="2"/>
  <c r="CH71" i="24"/>
  <c r="CY71" i="24"/>
  <c r="CY69" i="24"/>
  <c r="CH69" i="24"/>
  <c r="CY67" i="24"/>
  <c r="CH66" i="24"/>
  <c r="CY73" i="24"/>
  <c r="CH73" i="24"/>
  <c r="M1" i="11"/>
  <c r="O1" i="11" s="1"/>
  <c r="H56" i="24" s="1"/>
  <c r="CN51" i="24" s="1"/>
  <c r="X14" i="2" l="1"/>
  <c r="Y14" i="2"/>
  <c r="AK13" i="2"/>
  <c r="G17" i="2"/>
  <c r="D18" i="2"/>
  <c r="K18" i="2" s="1"/>
  <c r="DR33" i="24"/>
  <c r="DQ33" i="24" s="1"/>
  <c r="AQ84" i="24" s="1"/>
  <c r="DH44" i="24"/>
  <c r="BG80" i="24" s="1"/>
  <c r="AJ10" i="2"/>
  <c r="AI12" i="2"/>
  <c r="AJ12" i="2" s="1"/>
  <c r="H17" i="2"/>
  <c r="E18" i="2"/>
  <c r="G19" i="2"/>
  <c r="D20" i="2"/>
  <c r="F16" i="2"/>
  <c r="M14" i="2" s="1"/>
  <c r="I15" i="2"/>
  <c r="AD15" i="2"/>
  <c r="AC15" i="2"/>
  <c r="CL75" i="24"/>
  <c r="DD34" i="24" s="1"/>
  <c r="DD35" i="24" s="1"/>
  <c r="CP83" i="24" s="1"/>
  <c r="EQ5" i="1"/>
  <c r="EQ3" i="1"/>
  <c r="EQ2" i="1"/>
  <c r="Y17" i="2" l="1"/>
  <c r="X17" i="2"/>
  <c r="G18" i="2"/>
  <c r="DQ32" i="24"/>
  <c r="AQ83" i="24" s="1"/>
  <c r="DI44" i="24"/>
  <c r="BG84" i="24" s="1"/>
  <c r="DQ30" i="24"/>
  <c r="AQ81" i="24" s="1"/>
  <c r="AQ86" i="24"/>
  <c r="DQ31" i="24"/>
  <c r="AQ82" i="24" s="1"/>
  <c r="DQ28" i="24"/>
  <c r="AQ78" i="24" s="1"/>
  <c r="DQ29" i="24"/>
  <c r="AQ80" i="24" s="1"/>
  <c r="DC34" i="24"/>
  <c r="DC35" i="24" s="1"/>
  <c r="CP80" i="24" s="1"/>
  <c r="AI13" i="2"/>
  <c r="AJ13" i="2" s="1"/>
  <c r="H18" i="2"/>
  <c r="E19" i="2"/>
  <c r="AK14" i="2"/>
  <c r="G20" i="2"/>
  <c r="D21" i="2"/>
  <c r="F17" i="2"/>
  <c r="AD16" i="2"/>
  <c r="AC16" i="2"/>
  <c r="I16" i="2"/>
  <c r="AB14" i="2" s="1"/>
  <c r="FF5" i="1"/>
  <c r="FT11" i="1"/>
  <c r="X18" i="2" l="1"/>
  <c r="Y18" i="2"/>
  <c r="AA14" i="2"/>
  <c r="L17" i="2"/>
  <c r="AK15" i="2"/>
  <c r="F18" i="2"/>
  <c r="H19" i="2"/>
  <c r="E20" i="2"/>
  <c r="L18" i="2" s="1"/>
  <c r="AI14" i="2"/>
  <c r="AJ14" i="2" s="1"/>
  <c r="G21" i="2"/>
  <c r="D22" i="2"/>
  <c r="AC17" i="2"/>
  <c r="I17" i="2"/>
  <c r="AD17" i="2"/>
  <c r="FM4" i="1"/>
  <c r="FQ4" i="1"/>
  <c r="FU4" i="1"/>
  <c r="FL4" i="1"/>
  <c r="FV4" i="1"/>
  <c r="FN4" i="1"/>
  <c r="FO4" i="1"/>
  <c r="FS4" i="1"/>
  <c r="FW4" i="1"/>
  <c r="FX4" i="1"/>
  <c r="FR4" i="1"/>
  <c r="FP4" i="1"/>
  <c r="FT4" i="1"/>
  <c r="Z17" i="2" l="1"/>
  <c r="F19" i="2"/>
  <c r="I19" i="2" s="1"/>
  <c r="AC18" i="2"/>
  <c r="AI15" i="2"/>
  <c r="AJ15" i="2" s="1"/>
  <c r="AD18" i="2"/>
  <c r="AK16" i="2"/>
  <c r="I18" i="2"/>
  <c r="H20" i="2"/>
  <c r="Z18" i="2" s="1"/>
  <c r="E21" i="2"/>
  <c r="G22" i="2"/>
  <c r="D23" i="2"/>
  <c r="B61" i="22"/>
  <c r="B60" i="22"/>
  <c r="B59" i="22"/>
  <c r="D63" i="22"/>
  <c r="B54" i="22"/>
  <c r="B53" i="22"/>
  <c r="B52" i="22"/>
  <c r="K56" i="22"/>
  <c r="C9" i="22"/>
  <c r="F20" i="2" l="1"/>
  <c r="AD20" i="2" s="1"/>
  <c r="AA17" i="2"/>
  <c r="AB17" i="2"/>
  <c r="M17" i="2"/>
  <c r="AK17" i="2" s="1"/>
  <c r="M18" i="2"/>
  <c r="AK18" i="2" s="1"/>
  <c r="K21" i="2"/>
  <c r="AC19" i="2"/>
  <c r="AD19" i="2"/>
  <c r="AC20" i="2"/>
  <c r="AI16" i="2"/>
  <c r="AJ16" i="2" s="1"/>
  <c r="I20" i="2"/>
  <c r="AB18" i="2" s="1"/>
  <c r="F21" i="2"/>
  <c r="H21" i="2"/>
  <c r="E22" i="2"/>
  <c r="G23" i="2"/>
  <c r="Y21" i="2" s="1"/>
  <c r="D24" i="2"/>
  <c r="K22" i="2" s="1"/>
  <c r="H61" i="22"/>
  <c r="F15" i="22"/>
  <c r="X21" i="2" l="1"/>
  <c r="AA18" i="2"/>
  <c r="AK19" i="2"/>
  <c r="AI17" i="2"/>
  <c r="AJ17" i="2" s="1"/>
  <c r="I21" i="2"/>
  <c r="AD21" i="2"/>
  <c r="F22" i="2"/>
  <c r="AC21" i="2"/>
  <c r="H22" i="2"/>
  <c r="E23" i="2"/>
  <c r="G24" i="2"/>
  <c r="D25" i="2"/>
  <c r="K23" i="2" s="1"/>
  <c r="F28" i="11"/>
  <c r="X22" i="2" l="1"/>
  <c r="Y22" i="2"/>
  <c r="L21" i="2"/>
  <c r="AK20" i="2"/>
  <c r="AI18" i="2"/>
  <c r="AJ18" i="2" s="1"/>
  <c r="AC22" i="2"/>
  <c r="AD22" i="2"/>
  <c r="I22" i="2"/>
  <c r="F23" i="2"/>
  <c r="H23" i="2"/>
  <c r="E24" i="2"/>
  <c r="G25" i="2"/>
  <c r="D26" i="2"/>
  <c r="CM7" i="1"/>
  <c r="CM8" i="1"/>
  <c r="CM6" i="1"/>
  <c r="AC52" i="2"/>
  <c r="BF5" i="1"/>
  <c r="EA48" i="1" s="1"/>
  <c r="B17" i="4"/>
  <c r="Y23" i="2" l="1"/>
  <c r="Z21" i="2"/>
  <c r="X23" i="2"/>
  <c r="K24" i="2"/>
  <c r="L22" i="2"/>
  <c r="M21" i="2"/>
  <c r="AK21" i="2" s="1"/>
  <c r="DZ33" i="1"/>
  <c r="EA25" i="1"/>
  <c r="AI19" i="2"/>
  <c r="AJ19" i="2" s="1"/>
  <c r="I23" i="2"/>
  <c r="F24" i="2"/>
  <c r="AD23" i="2"/>
  <c r="AC23" i="2"/>
  <c r="H24" i="2"/>
  <c r="E25" i="2"/>
  <c r="G26" i="2"/>
  <c r="D27" i="2"/>
  <c r="K26" i="2" s="1"/>
  <c r="H55" i="22"/>
  <c r="W52" i="2"/>
  <c r="AJ37" i="2"/>
  <c r="AK37" i="2"/>
  <c r="BG14" i="1"/>
  <c r="C4" i="1"/>
  <c r="BG5" i="1" s="1"/>
  <c r="BF4" i="1"/>
  <c r="X26" i="2" l="1"/>
  <c r="Y26" i="2"/>
  <c r="X24" i="2"/>
  <c r="X25" i="2"/>
  <c r="AA21" i="2"/>
  <c r="Z22" i="2"/>
  <c r="Y25" i="2"/>
  <c r="Y24" i="2"/>
  <c r="AB21" i="2"/>
  <c r="M22" i="2"/>
  <c r="AK22" i="2" s="1"/>
  <c r="L23" i="2"/>
  <c r="K25" i="2"/>
  <c r="AI20" i="2"/>
  <c r="AJ20" i="2" s="1"/>
  <c r="I24" i="2"/>
  <c r="AB22" i="2" s="1"/>
  <c r="AC24" i="2"/>
  <c r="F25" i="2"/>
  <c r="AD24" i="2"/>
  <c r="H25" i="2"/>
  <c r="E26" i="2"/>
  <c r="AI21" i="2"/>
  <c r="AI40" i="2"/>
  <c r="AJ40" i="2"/>
  <c r="FL11" i="1"/>
  <c r="AC43" i="2"/>
  <c r="AC42" i="2"/>
  <c r="AC40" i="2"/>
  <c r="AK40" i="2"/>
  <c r="BG26" i="1"/>
  <c r="CW40" i="1"/>
  <c r="BG34" i="1"/>
  <c r="CW12" i="1"/>
  <c r="CW29" i="1"/>
  <c r="Z23" i="2" l="1"/>
  <c r="AA22" i="2"/>
  <c r="L24" i="2"/>
  <c r="M23" i="2"/>
  <c r="AK23" i="2" s="1"/>
  <c r="AC25" i="2"/>
  <c r="I25" i="2"/>
  <c r="AB23" i="2" s="1"/>
  <c r="AD25" i="2"/>
  <c r="F26" i="2"/>
  <c r="K27" i="2"/>
  <c r="H26" i="2"/>
  <c r="Z26" i="2" s="1"/>
  <c r="E27" i="2"/>
  <c r="L25" i="2" s="1"/>
  <c r="AF34" i="2"/>
  <c r="AF36" i="2"/>
  <c r="AJ21" i="2"/>
  <c r="AI22" i="2"/>
  <c r="AI42" i="2"/>
  <c r="AK42" i="2"/>
  <c r="B15" i="4"/>
  <c r="B16" i="4"/>
  <c r="B18" i="4"/>
  <c r="B14" i="4"/>
  <c r="EA40" i="1" s="1"/>
  <c r="Y54" i="2"/>
  <c r="Y55" i="2"/>
  <c r="Y56" i="2"/>
  <c r="Y57" i="2"/>
  <c r="Y58" i="2"/>
  <c r="Y59" i="2"/>
  <c r="Y60" i="2"/>
  <c r="Y61" i="2"/>
  <c r="Y62" i="2"/>
  <c r="Y63" i="2"/>
  <c r="Y64" i="2"/>
  <c r="AA23" i="2" l="1"/>
  <c r="Z25" i="2"/>
  <c r="Z24" i="2"/>
  <c r="L26" i="2"/>
  <c r="M24" i="2"/>
  <c r="AK24" i="2" s="1"/>
  <c r="AC26" i="2"/>
  <c r="AD26" i="2"/>
  <c r="AD27" i="2" s="1"/>
  <c r="I26" i="2"/>
  <c r="F27" i="2"/>
  <c r="M26" i="2" s="1"/>
  <c r="AJ22" i="2"/>
  <c r="AI23" i="2"/>
  <c r="B49" i="4"/>
  <c r="B50" i="1" s="1"/>
  <c r="C50" i="1" s="1"/>
  <c r="B34" i="4"/>
  <c r="AC54" i="2"/>
  <c r="AC55" i="2"/>
  <c r="AC56" i="2"/>
  <c r="AC57" i="2"/>
  <c r="AC58" i="2"/>
  <c r="AC59" i="2"/>
  <c r="AC60" i="2"/>
  <c r="AC61" i="2"/>
  <c r="AC62" i="2"/>
  <c r="AC63" i="2"/>
  <c r="AC64" i="2"/>
  <c r="AC53" i="2"/>
  <c r="AE54" i="2"/>
  <c r="AE55" i="2"/>
  <c r="AE56" i="2"/>
  <c r="AE57" i="2"/>
  <c r="AE58" i="2"/>
  <c r="AE59" i="2"/>
  <c r="AE60" i="2"/>
  <c r="AE61" i="2"/>
  <c r="AE62" i="2"/>
  <c r="AE63" i="2"/>
  <c r="AE64" i="2"/>
  <c r="AE53" i="2"/>
  <c r="AD53" i="2" s="1"/>
  <c r="AE69" i="2"/>
  <c r="AB26" i="2" l="1"/>
  <c r="AA26" i="2"/>
  <c r="AA25" i="2"/>
  <c r="AA24" i="2"/>
  <c r="AB25" i="2"/>
  <c r="AB24" i="2"/>
  <c r="M25" i="2"/>
  <c r="AK25" i="2" s="1"/>
  <c r="AK26" i="2"/>
  <c r="AG34" i="2"/>
  <c r="AG37" i="2" s="1"/>
  <c r="AQ30" i="2" s="1"/>
  <c r="AQ25" i="2" s="1"/>
  <c r="AJ23" i="2"/>
  <c r="AI24" i="2"/>
  <c r="B49" i="1"/>
  <c r="C49" i="1" s="1"/>
  <c r="AD54" i="2"/>
  <c r="AD55" i="2" s="1"/>
  <c r="X32" i="2" l="1"/>
  <c r="AH36" i="2"/>
  <c r="AH34" i="2"/>
  <c r="AJ24" i="2"/>
  <c r="AI25" i="2"/>
  <c r="AD56" i="2"/>
  <c r="AD57" i="2" s="1"/>
  <c r="CW42" i="1"/>
  <c r="EA42" i="1" s="1"/>
  <c r="CW31" i="1"/>
  <c r="CW15" i="1"/>
  <c r="BG36" i="1"/>
  <c r="BG28" i="1"/>
  <c r="BG16" i="1"/>
  <c r="AJ39" i="2"/>
  <c r="AK41" i="2"/>
  <c r="AI39" i="2"/>
  <c r="AF40" i="2" s="1"/>
  <c r="AE39" i="2"/>
  <c r="S64" i="2"/>
  <c r="A6" i="2" l="1"/>
  <c r="CH50" i="1" a="1"/>
  <c r="CH50" i="1" s="1"/>
  <c r="AJ25" i="2"/>
  <c r="AI26" i="2"/>
  <c r="AJ26" i="2" s="1"/>
  <c r="AQ12" i="2"/>
  <c r="AQ36" i="2"/>
  <c r="AI41" i="2"/>
  <c r="AF42" i="2" s="1"/>
  <c r="AF45" i="2" s="1"/>
  <c r="AQ27" i="2"/>
  <c r="AQ26" i="2"/>
  <c r="BG38" i="1"/>
  <c r="BG30" i="1"/>
  <c r="BG18" i="1"/>
  <c r="CW44" i="1"/>
  <c r="EA44" i="1" s="1"/>
  <c r="AD58" i="2"/>
  <c r="AB53" i="2"/>
  <c r="S54" i="2"/>
  <c r="S55" i="2"/>
  <c r="S56" i="2"/>
  <c r="S57" i="2"/>
  <c r="S58" i="2"/>
  <c r="S59" i="2"/>
  <c r="S60" i="2"/>
  <c r="S61" i="2"/>
  <c r="S62" i="2"/>
  <c r="S63" i="2"/>
  <c r="S52" i="2"/>
  <c r="CK12" i="1"/>
  <c r="CK34" i="1" s="1"/>
  <c r="CO12" i="1"/>
  <c r="CO35" i="1" s="1"/>
  <c r="CQ12" i="1"/>
  <c r="CQ34" i="1" s="1"/>
  <c r="CB12" i="1"/>
  <c r="CB34" i="1" s="1"/>
  <c r="BX12" i="1"/>
  <c r="BX34" i="1" s="1"/>
  <c r="AB30" i="2"/>
  <c r="CI12" i="1" s="1"/>
  <c r="Z30" i="2"/>
  <c r="Y30" i="2"/>
  <c r="X30" i="2"/>
  <c r="W30" i="2"/>
  <c r="V30" i="2"/>
  <c r="U30" i="2"/>
  <c r="BT12" i="1" s="1"/>
  <c r="T30" i="2"/>
  <c r="S30" i="2"/>
  <c r="BO12" i="1" s="1"/>
  <c r="BJ12" i="1"/>
  <c r="CK11" i="1"/>
  <c r="AB29" i="2"/>
  <c r="Z29" i="2"/>
  <c r="CI11" i="1" s="1"/>
  <c r="Y29" i="2"/>
  <c r="X29" i="2"/>
  <c r="W29" i="2"/>
  <c r="CB11" i="1" s="1"/>
  <c r="V29" i="2"/>
  <c r="BX11" i="1" s="1"/>
  <c r="U29" i="2"/>
  <c r="BT11" i="1" s="1"/>
  <c r="T29" i="2"/>
  <c r="CQ11" i="1" s="1"/>
  <c r="S29" i="2"/>
  <c r="BO11" i="1" s="1"/>
  <c r="BJ11" i="1"/>
  <c r="M29" i="2"/>
  <c r="L29" i="2"/>
  <c r="CK10" i="1"/>
  <c r="AB28" i="2"/>
  <c r="Z28" i="2"/>
  <c r="Y28" i="2"/>
  <c r="CI10" i="1" s="1"/>
  <c r="CF14" i="1" s="1"/>
  <c r="X28" i="2"/>
  <c r="CD10" i="1" s="1"/>
  <c r="W28" i="2"/>
  <c r="V28" i="2"/>
  <c r="U28" i="2"/>
  <c r="T28" i="2"/>
  <c r="S28" i="2"/>
  <c r="M28" i="2"/>
  <c r="L28" i="2"/>
  <c r="K28" i="2"/>
  <c r="AV15" i="2" l="1"/>
  <c r="BX38" i="1"/>
  <c r="BX36" i="1"/>
  <c r="CO37" i="1"/>
  <c r="CQ36" i="1"/>
  <c r="CK36" i="1"/>
  <c r="CB36" i="1"/>
  <c r="CB38" i="1"/>
  <c r="CK38" i="1"/>
  <c r="CO39" i="1"/>
  <c r="CQ38" i="1"/>
  <c r="AV39" i="2"/>
  <c r="R52" i="2"/>
  <c r="R53" i="2"/>
  <c r="AV30" i="2"/>
  <c r="CH32" i="1" s="1"/>
  <c r="BM24" i="1"/>
  <c r="AD59" i="2"/>
  <c r="AD60" i="2" s="1"/>
  <c r="AV41" i="2"/>
  <c r="AV40" i="2"/>
  <c r="AF37" i="2"/>
  <c r="BT10" i="1"/>
  <c r="CB10" i="1"/>
  <c r="BO10" i="1"/>
  <c r="CQ10" i="1"/>
  <c r="BJ10" i="1"/>
  <c r="BX10" i="1"/>
  <c r="BG20" i="1"/>
  <c r="CW46" i="1"/>
  <c r="EA46" i="1" s="1"/>
  <c r="FJ11" i="1"/>
  <c r="AH37" i="2"/>
  <c r="AB54" i="2"/>
  <c r="AB55" i="2" s="1"/>
  <c r="V53" i="2"/>
  <c r="V54" i="2" s="1"/>
  <c r="T53" i="2"/>
  <c r="X53" i="2"/>
  <c r="T54" i="2" l="1"/>
  <c r="T55" i="2" s="1"/>
  <c r="T56" i="2" s="1"/>
  <c r="AQ35" i="2"/>
  <c r="AQ11" i="2"/>
  <c r="X54" i="2"/>
  <c r="X55" i="2" s="1"/>
  <c r="R54" i="2"/>
  <c r="AT36" i="2"/>
  <c r="AD61" i="2"/>
  <c r="AD62" i="2" s="1"/>
  <c r="V55" i="2"/>
  <c r="AB56" i="2"/>
  <c r="AQ15" i="2" l="1"/>
  <c r="AQ40" i="2"/>
  <c r="BM40" i="1"/>
  <c r="AQ39" i="2"/>
  <c r="AQ41" i="2"/>
  <c r="BM22" i="1"/>
  <c r="R55" i="2"/>
  <c r="AD63" i="2"/>
  <c r="AD64" i="2" s="1"/>
  <c r="AE78" i="2" s="1"/>
  <c r="V56" i="2"/>
  <c r="V57" i="2" s="1"/>
  <c r="X56" i="2"/>
  <c r="X57" i="2" s="1"/>
  <c r="AB57" i="2"/>
  <c r="AB58" i="2" s="1"/>
  <c r="T57" i="2"/>
  <c r="AT35" i="2" l="1"/>
  <c r="R56" i="2"/>
  <c r="R57" i="2" s="1"/>
  <c r="AE71" i="2"/>
  <c r="AE73" i="2"/>
  <c r="AE74" i="2"/>
  <c r="AE72" i="2"/>
  <c r="AE70" i="2"/>
  <c r="AE75" i="2"/>
  <c r="AE80" i="2"/>
  <c r="AE76" i="2"/>
  <c r="AE79" i="2"/>
  <c r="AE77" i="2"/>
  <c r="X58" i="2"/>
  <c r="T58" i="2"/>
  <c r="T59" i="2" s="1"/>
  <c r="AB59" i="2"/>
  <c r="AB60" i="2" s="1"/>
  <c r="AB61" i="2" s="1"/>
  <c r="AB62" i="2" s="1"/>
  <c r="V58" i="2"/>
  <c r="AW35" i="2" l="1"/>
  <c r="R58" i="2"/>
  <c r="X59" i="2"/>
  <c r="X60" i="2" s="1"/>
  <c r="Y69" i="2"/>
  <c r="AB63" i="2"/>
  <c r="AB64" i="2" s="1"/>
  <c r="AC71" i="2" s="1"/>
  <c r="V59" i="2"/>
  <c r="T60" i="2"/>
  <c r="AS40" i="2" l="1"/>
  <c r="AS41" i="2"/>
  <c r="CH40" i="1"/>
  <c r="AS39" i="2"/>
  <c r="AW36" i="2"/>
  <c r="CH42" i="1" s="1"/>
  <c r="R59" i="2"/>
  <c r="X61" i="2"/>
  <c r="AC76" i="2"/>
  <c r="AC70" i="2"/>
  <c r="AC77" i="2"/>
  <c r="AC78" i="2"/>
  <c r="AC73" i="2"/>
  <c r="AC74" i="2"/>
  <c r="AC75" i="2"/>
  <c r="AC80" i="2"/>
  <c r="AC69" i="2"/>
  <c r="AC72" i="2"/>
  <c r="AC79" i="2"/>
  <c r="V60" i="2"/>
  <c r="T61" i="2"/>
  <c r="T62" i="2" s="1"/>
  <c r="T63" i="2" s="1"/>
  <c r="AS43" i="2" l="1"/>
  <c r="B19" i="2" s="1"/>
  <c r="R60" i="2"/>
  <c r="R61" i="2"/>
  <c r="X62" i="2"/>
  <c r="X63" i="2" s="1"/>
  <c r="X64" i="2" s="1"/>
  <c r="Y80" i="2" s="1"/>
  <c r="T64" i="2"/>
  <c r="U80" i="2" s="1"/>
  <c r="V61" i="2"/>
  <c r="R62" i="2" l="1"/>
  <c r="U75" i="2"/>
  <c r="U73" i="2"/>
  <c r="U74" i="2"/>
  <c r="U79" i="2"/>
  <c r="U72" i="2"/>
  <c r="Y71" i="2"/>
  <c r="Y75" i="2"/>
  <c r="Y70" i="2"/>
  <c r="Y72" i="2"/>
  <c r="Y76" i="2"/>
  <c r="Y74" i="2"/>
  <c r="U77" i="2"/>
  <c r="U70" i="2"/>
  <c r="U76" i="2"/>
  <c r="U78" i="2"/>
  <c r="U71" i="2"/>
  <c r="Y77" i="2"/>
  <c r="Y73" i="2"/>
  <c r="V62" i="2"/>
  <c r="Y78" i="2"/>
  <c r="Y79" i="2"/>
  <c r="W69" i="2"/>
  <c r="R63" i="2" l="1"/>
  <c r="R64" i="2" s="1"/>
  <c r="S69" i="2" s="1"/>
  <c r="V63" i="2"/>
  <c r="S79" i="2" l="1"/>
  <c r="S73" i="2"/>
  <c r="S74" i="2"/>
  <c r="S75" i="2"/>
  <c r="S80" i="2"/>
  <c r="S70" i="2"/>
  <c r="S76" i="2"/>
  <c r="S77" i="2"/>
  <c r="S71" i="2"/>
  <c r="S78" i="2"/>
  <c r="S72" i="2"/>
  <c r="V64" i="2"/>
  <c r="W80" i="2" s="1"/>
  <c r="W71" i="2" l="1"/>
  <c r="W79" i="2"/>
  <c r="W73" i="2"/>
  <c r="W70" i="2"/>
  <c r="W77" i="2"/>
  <c r="W72" i="2"/>
  <c r="W74" i="2"/>
  <c r="W78" i="2"/>
  <c r="W75" i="2"/>
  <c r="W76" i="2"/>
  <c r="M27" i="2"/>
  <c r="BR9" i="1"/>
  <c r="DK9" i="1" s="1"/>
  <c r="AH42" i="2" l="1"/>
  <c r="AH45" i="2" s="1"/>
  <c r="CD34" i="1"/>
  <c r="CD36" i="1"/>
  <c r="AH40" i="2"/>
  <c r="CF38" i="1"/>
  <c r="BH34" i="1"/>
  <c r="BH36" i="1"/>
  <c r="BH37" i="1"/>
  <c r="BO37" i="1" s="1"/>
  <c r="BH39" i="1"/>
  <c r="BO38" i="1" s="1"/>
  <c r="BH38" i="1"/>
  <c r="CD38" i="1"/>
  <c r="B48" i="1"/>
  <c r="C48" i="1" s="1"/>
  <c r="BR36" i="1"/>
  <c r="BR34" i="1"/>
  <c r="CF36" i="1"/>
  <c r="BZ37" i="1"/>
  <c r="CF34" i="1"/>
  <c r="BT36" i="1"/>
  <c r="BT38" i="1"/>
  <c r="BT34" i="1"/>
  <c r="BR38" i="1"/>
  <c r="BZ35" i="1"/>
  <c r="BZ39" i="1"/>
  <c r="BH35" i="1"/>
  <c r="BO34" i="1" s="1"/>
  <c r="L27" i="2"/>
  <c r="AH43" i="2" l="1"/>
  <c r="AH46" i="2" s="1"/>
  <c r="BJ35" i="1"/>
  <c r="BJ36" i="1"/>
  <c r="BJ37" i="1"/>
  <c r="BJ39" i="1"/>
  <c r="BJ38" i="1"/>
  <c r="BJ34" i="1"/>
  <c r="BH31" i="1"/>
  <c r="BO31" i="1" s="1"/>
  <c r="BH30" i="1"/>
  <c r="BH29" i="1"/>
  <c r="BO29" i="1" s="1"/>
  <c r="BH27" i="1"/>
  <c r="BO27" i="1" s="1"/>
  <c r="BH26" i="1"/>
  <c r="BH28" i="1"/>
  <c r="AG40" i="2"/>
  <c r="AG43" i="2" s="1"/>
  <c r="AG46" i="2" s="1"/>
  <c r="CK30" i="1"/>
  <c r="CK28" i="1"/>
  <c r="CK26" i="1"/>
  <c r="B47" i="1"/>
  <c r="C47" i="1" s="1"/>
  <c r="BO36" i="1"/>
  <c r="BO39" i="1"/>
  <c r="BO35" i="1"/>
  <c r="CQ26" i="1"/>
  <c r="BR26" i="1" s="1"/>
  <c r="CF28" i="1"/>
  <c r="BX26" i="1"/>
  <c r="CB28" i="1"/>
  <c r="CF26" i="1"/>
  <c r="BT30" i="1"/>
  <c r="BT26" i="1"/>
  <c r="CB26" i="1"/>
  <c r="CB30" i="1"/>
  <c r="CF30" i="1"/>
  <c r="CQ30" i="1"/>
  <c r="BR30" i="1" s="1"/>
  <c r="BX30" i="1"/>
  <c r="BT28" i="1"/>
  <c r="CQ28" i="1"/>
  <c r="BR28" i="1" s="1"/>
  <c r="BX28" i="1"/>
  <c r="BJ27" i="1" l="1"/>
  <c r="B46" i="1"/>
  <c r="BH20" i="1"/>
  <c r="BJ21" i="1" s="1"/>
  <c r="BH19" i="1"/>
  <c r="BH16" i="1"/>
  <c r="BH18" i="1"/>
  <c r="BH17" i="1"/>
  <c r="BO17" i="1" s="1"/>
  <c r="BH21" i="1"/>
  <c r="BO21" i="1" s="1"/>
  <c r="BH14" i="1"/>
  <c r="BJ15" i="1" s="1"/>
  <c r="BH15" i="1"/>
  <c r="BO15" i="1" s="1"/>
  <c r="CK20" i="1"/>
  <c r="CK18" i="1"/>
  <c r="CK16" i="1"/>
  <c r="CK14" i="1"/>
  <c r="CD20" i="1"/>
  <c r="CD18" i="1"/>
  <c r="CD14" i="1"/>
  <c r="CD16" i="1"/>
  <c r="BO30" i="1"/>
  <c r="BO26" i="1"/>
  <c r="BO28" i="1"/>
  <c r="BX18" i="1"/>
  <c r="CF18" i="1"/>
  <c r="CQ18" i="1"/>
  <c r="BR18" i="1" s="1"/>
  <c r="CQ14" i="1"/>
  <c r="BR14" i="1" s="1"/>
  <c r="CQ16" i="1"/>
  <c r="BR16" i="1" s="1"/>
  <c r="CB16" i="1"/>
  <c r="BX14" i="1"/>
  <c r="CB14" i="1"/>
  <c r="BT16" i="1"/>
  <c r="CF16" i="1"/>
  <c r="CB18" i="1"/>
  <c r="BT18" i="1"/>
  <c r="BX16" i="1"/>
  <c r="BT14" i="1"/>
  <c r="BX20" i="1"/>
  <c r="CF20" i="1"/>
  <c r="CQ20" i="1"/>
  <c r="BR20" i="1" s="1"/>
  <c r="BT20" i="1"/>
  <c r="CB20" i="1"/>
  <c r="C46" i="1" l="1"/>
  <c r="C14" i="1" s="1"/>
  <c r="BJ19" i="1"/>
  <c r="BJ18" i="1"/>
  <c r="BJ14" i="1"/>
  <c r="BJ16" i="1"/>
  <c r="BJ17" i="1"/>
  <c r="BO19" i="1"/>
  <c r="BO18" i="1"/>
  <c r="BJ20" i="1"/>
  <c r="BJ30" i="1"/>
  <c r="BJ31" i="1"/>
  <c r="BJ28" i="1"/>
  <c r="BJ29" i="1"/>
  <c r="BJ26" i="1"/>
  <c r="BO14" i="1"/>
  <c r="BO20" i="1"/>
  <c r="BO16" i="1"/>
  <c r="AF43" i="2"/>
  <c r="P28" i="4"/>
  <c r="P23" i="4"/>
  <c r="FM11" i="1" l="1"/>
  <c r="FN11" i="1"/>
  <c r="C13" i="1"/>
  <c r="C12" i="1"/>
  <c r="C15" i="1"/>
  <c r="AF46" i="2"/>
  <c r="BM32" i="1"/>
  <c r="B51" i="1" l="1"/>
  <c r="L2" i="4"/>
  <c r="ED11" i="1" s="1"/>
  <c r="D1" i="4"/>
  <c r="E1" i="4"/>
  <c r="F1" i="4"/>
  <c r="C1" i="4"/>
  <c r="C16" i="1" l="1"/>
  <c r="C11" i="1"/>
  <c r="ED12" i="1"/>
  <c r="ED15" i="1"/>
  <c r="G3" i="4"/>
  <c r="F3" i="4"/>
  <c r="E3" i="4"/>
  <c r="D3" i="4"/>
  <c r="C3" i="4"/>
  <c r="D2" i="4"/>
  <c r="E2" i="4"/>
  <c r="F2" i="4"/>
  <c r="G2" i="4"/>
  <c r="H2" i="4"/>
  <c r="I2" i="4"/>
  <c r="J2" i="4"/>
  <c r="C2" i="4"/>
  <c r="T39" i="4"/>
  <c r="S39" i="4"/>
  <c r="Q39" i="4"/>
  <c r="R39" i="4"/>
  <c r="P27" i="4"/>
  <c r="Q28" i="4" s="1"/>
  <c r="P22" i="4"/>
  <c r="Q23" i="4" s="1"/>
  <c r="DF11" i="1" l="1"/>
  <c r="Q32" i="4"/>
  <c r="DO11" i="1"/>
  <c r="R23" i="4"/>
  <c r="EL11" i="1"/>
  <c r="DV11" i="1"/>
  <c r="DU12" i="1" s="1"/>
  <c r="DT11" i="1"/>
  <c r="DX11" i="1"/>
  <c r="CZ11" i="1"/>
  <c r="DM11" i="1"/>
  <c r="T37" i="4"/>
  <c r="EB18" i="1" s="1"/>
  <c r="CX12" i="1" l="1"/>
  <c r="CX15" i="1"/>
  <c r="CX14" i="1"/>
  <c r="CX17" i="1"/>
  <c r="DU15" i="1"/>
  <c r="DX13" i="1"/>
  <c r="DX16" i="1"/>
  <c r="DS14" i="1"/>
  <c r="DS17" i="1"/>
  <c r="DM14" i="1"/>
  <c r="DY29" i="1"/>
  <c r="DM17" i="1"/>
  <c r="DY31" i="1"/>
  <c r="DM12" i="1"/>
  <c r="DV29" i="1"/>
  <c r="DV31" i="1"/>
  <c r="DM15" i="1"/>
  <c r="CZ29" i="1"/>
  <c r="CZ31" i="1"/>
  <c r="DN29" i="1"/>
  <c r="EL12" i="1"/>
  <c r="DK12" i="1" s="1"/>
  <c r="EL15" i="1"/>
  <c r="DK15" i="1" s="1"/>
  <c r="DN31" i="1"/>
  <c r="DF29" i="1"/>
  <c r="DF31" i="1"/>
  <c r="Q31" i="4"/>
  <c r="R28" i="4" s="1"/>
  <c r="T38" i="4"/>
  <c r="EB20" i="1" s="1"/>
  <c r="Q40" i="4"/>
  <c r="DG23" i="1" s="1"/>
  <c r="DF14" i="1" l="1"/>
  <c r="DF12" i="1"/>
  <c r="CZ15" i="1"/>
  <c r="CZ17" i="1"/>
  <c r="CZ14" i="1"/>
  <c r="CZ12" i="1"/>
  <c r="DF16" i="1"/>
  <c r="DF17" i="1"/>
  <c r="T40" i="4"/>
  <c r="EA23" i="1" s="1"/>
  <c r="T42" i="4"/>
  <c r="AQ16" i="2" l="1"/>
  <c r="AQ17" i="2"/>
  <c r="AV16" i="2"/>
  <c r="AV17" i="2"/>
  <c r="AT12" i="2" s="1"/>
  <c r="AT11" i="2" l="1"/>
  <c r="BY24" i="1"/>
  <c r="BY22" i="1" l="1"/>
  <c r="AW11" i="2"/>
  <c r="AS16" i="2" l="1"/>
  <c r="AS17" i="2"/>
  <c r="AS15" i="2"/>
  <c r="CH22" i="1"/>
  <c r="AW12" i="2"/>
  <c r="AY5" i="2" l="1"/>
  <c r="AW15" i="2" s="1"/>
  <c r="CH24" i="1"/>
  <c r="AS19" i="2"/>
  <c r="B11" i="2" s="1"/>
  <c r="BY40" i="1"/>
  <c r="BM42" i="1"/>
  <c r="B15" i="2" l="1"/>
  <c r="AW39" i="2"/>
  <c r="C19" i="2" s="1"/>
  <c r="CH47" i="1"/>
  <c r="C11" i="2"/>
  <c r="B16" i="2"/>
  <c r="B8" i="2"/>
  <c r="B12" i="2"/>
  <c r="BY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たかやす</author>
  </authors>
  <commentList>
    <comment ref="C5" authorId="0" shapeId="0" xr:uid="{12FE14FD-D677-4925-B2DF-EF24DEED92EE}">
      <text>
        <r>
          <rPr>
            <b/>
            <sz val="12"/>
            <color indexed="81"/>
            <rFont val="MS P ゴシック"/>
            <family val="3"/>
            <charset val="128"/>
          </rPr>
          <t>▼リストに自分の氏名が表示されない場合はキーボードから入力してください</t>
        </r>
      </text>
    </comment>
    <comment ref="O30" authorId="1" shapeId="0" xr:uid="{00000000-0006-0000-0200-000001000000}">
      <text>
        <r>
          <rPr>
            <b/>
            <sz val="12"/>
            <color indexed="81"/>
            <rFont val="MS P ゴシック"/>
            <family val="3"/>
            <charset val="128"/>
          </rPr>
          <t>申告者から見て、該当者が何に当たるか
例）子・母・夫</t>
        </r>
      </text>
    </comment>
    <comment ref="O31" authorId="1" shapeId="0" xr:uid="{00000000-0006-0000-0200-000002000000}">
      <text>
        <r>
          <rPr>
            <b/>
            <sz val="12"/>
            <color indexed="81"/>
            <rFont val="MS P ゴシック"/>
            <family val="3"/>
            <charset val="128"/>
          </rPr>
          <t>収入ではなく、所得に直してください。</t>
        </r>
      </text>
    </comment>
    <comment ref="C34" authorId="1" shapeId="0" xr:uid="{00000000-0006-0000-0200-000003000000}">
      <text>
        <r>
          <rPr>
            <b/>
            <sz val="12"/>
            <color indexed="81"/>
            <rFont val="MS P ゴシック"/>
            <family val="3"/>
            <charset val="128"/>
          </rPr>
          <t xml:space="preserve">ご注意・参考：確定申告は個人の作業となります。職場では手続きができません。
確定申告をする場合で、ふるさと納税をしている場合、ふるさと納税のワンストップ特例制度による申請は無効となりますので、確定申告で寄付金控除を申告する必要があります。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たかやす</author>
  </authors>
  <commentList>
    <comment ref="O31" authorId="0" shapeId="0" xr:uid="{00000000-0006-0000-0300-000001000000}">
      <text>
        <r>
          <rPr>
            <b/>
            <sz val="12"/>
            <color indexed="81"/>
            <rFont val="MS P ゴシック"/>
            <family val="3"/>
            <charset val="128"/>
          </rPr>
          <t>申告者から見て、該当者が何に当たるか
例）子・母・夫</t>
        </r>
      </text>
    </comment>
    <comment ref="O32" authorId="0" shapeId="0" xr:uid="{00000000-0006-0000-0300-000002000000}">
      <text>
        <r>
          <rPr>
            <b/>
            <sz val="12"/>
            <color indexed="81"/>
            <rFont val="MS P ゴシック"/>
            <family val="3"/>
            <charset val="128"/>
          </rPr>
          <t>収入ではなく、所得に直してください。</t>
        </r>
      </text>
    </comment>
    <comment ref="C35" authorId="0" shapeId="0" xr:uid="{00000000-0006-0000-0300-000003000000}">
      <text>
        <r>
          <rPr>
            <b/>
            <sz val="12"/>
            <color indexed="81"/>
            <rFont val="MS P ゴシック"/>
            <family val="3"/>
            <charset val="128"/>
          </rPr>
          <t xml:space="preserve">ご注意・参考：確定申告は個人の作業となります。学校では手続きができません。
確定申告をする場合で、ふるさと納税をしている場合、ふるさと納税のワンストップ特例制度による申請は無効となりますので、確定申告で寄付金控除を申告する必要があります。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owner</author>
    <author>たかやす</author>
  </authors>
  <commentList>
    <comment ref="P7" authorId="0" shapeId="0" xr:uid="{3674FE79-2652-4717-A537-0E66A053B84A}">
      <text>
        <r>
          <rPr>
            <b/>
            <sz val="9"/>
            <color indexed="81"/>
            <rFont val="MS P ゴシック"/>
            <family val="3"/>
            <charset val="128"/>
          </rPr>
          <t>証明書の「申告額」欄の金額を入力します。（証明額　ではありません）但し、「申告額」欄に数字が無ければ、「証明額」欄の金額を入力します。
配当金・割戻金があればそれを差し引いた後の金額を入力します。</t>
        </r>
        <r>
          <rPr>
            <sz val="9"/>
            <color indexed="81"/>
            <rFont val="MS P ゴシック"/>
            <family val="3"/>
            <charset val="128"/>
          </rPr>
          <t xml:space="preserve">
</t>
        </r>
      </text>
    </comment>
    <comment ref="T7" authorId="1" shapeId="0" xr:uid="{00000000-0006-0000-0400-000001000000}">
      <text>
        <r>
          <rPr>
            <b/>
            <sz val="10"/>
            <color indexed="81"/>
            <rFont val="MS P ゴシック"/>
            <family val="3"/>
            <charset val="128"/>
          </rPr>
          <t>年数は数字のみで可
終身は９９と入力しても　文字で入力しても可</t>
        </r>
        <r>
          <rPr>
            <sz val="9"/>
            <color indexed="81"/>
            <rFont val="MS P ゴシック"/>
            <family val="3"/>
            <charset val="128"/>
          </rPr>
          <t xml:space="preserve">
</t>
        </r>
      </text>
    </comment>
    <comment ref="R8" authorId="1" shapeId="0" xr:uid="{00000000-0006-0000-0400-000006000000}">
      <text>
        <r>
          <rPr>
            <b/>
            <sz val="10"/>
            <color indexed="81"/>
            <rFont val="ＭＳ Ｐゴシック"/>
            <family val="3"/>
            <charset val="128"/>
          </rPr>
          <t>一度入力すると次の段への入力の際にはリストに表示されるようになります。　　リストに表示されない場合はキーボードから入力してください。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G24" authorId="0" shapeId="0" xr:uid="{B7AAA930-AF3D-4558-8189-ED7DC25D90D2}">
      <text>
        <r>
          <rPr>
            <b/>
            <sz val="9"/>
            <color indexed="81"/>
            <rFont val="MS P ゴシック"/>
            <family val="3"/>
            <charset val="128"/>
          </rPr>
          <t>保険等の対象となった
家屋等に居住　又は　家財を
利用している者等の氏名</t>
        </r>
      </text>
    </comment>
    <comment ref="J24" authorId="0" shapeId="0" xr:uid="{D256C838-0862-4A65-8AAC-67559711641C}">
      <text>
        <r>
          <rPr>
            <b/>
            <sz val="9"/>
            <color indexed="81"/>
            <rFont val="MS P ゴシック"/>
            <family val="3"/>
            <charset val="128"/>
          </rPr>
          <t>分配を受けた
剰余金等の
控除後の金額</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<sst xmlns="http://schemas.openxmlformats.org/spreadsheetml/2006/main" count="936" uniqueCount="546">
  <si>
    <t>新</t>
    <rPh sb="0" eb="1">
      <t>シン</t>
    </rPh>
    <phoneticPr fontId="2"/>
  </si>
  <si>
    <t>合計額</t>
    <rPh sb="0" eb="2">
      <t>ゴウケイ</t>
    </rPh>
    <rPh sb="2" eb="3">
      <t>ガク</t>
    </rPh>
    <phoneticPr fontId="2"/>
  </si>
  <si>
    <t>旧</t>
    <rPh sb="0" eb="1">
      <t>キュウ</t>
    </rPh>
    <phoneticPr fontId="2"/>
  </si>
  <si>
    <t>控除額</t>
    <rPh sb="0" eb="3">
      <t>コウジョガク</t>
    </rPh>
    <phoneticPr fontId="2"/>
  </si>
  <si>
    <t>最高</t>
    <rPh sb="0" eb="2">
      <t>サイコウ</t>
    </rPh>
    <phoneticPr fontId="2"/>
  </si>
  <si>
    <t>③の最高</t>
    <rPh sb="2" eb="4">
      <t>サイコウ</t>
    </rPh>
    <phoneticPr fontId="2"/>
  </si>
  <si>
    <t>控除額計算</t>
    <rPh sb="0" eb="3">
      <t>コウジョガク</t>
    </rPh>
    <rPh sb="3" eb="5">
      <t>ケイサン</t>
    </rPh>
    <phoneticPr fontId="2"/>
  </si>
  <si>
    <t>円未満切り上げ</t>
    <rPh sb="0" eb="1">
      <t>エン</t>
    </rPh>
    <rPh sb="1" eb="3">
      <t>ミマン</t>
    </rPh>
    <rPh sb="3" eb="4">
      <t>キ</t>
    </rPh>
    <rPh sb="5" eb="6">
      <t>ア</t>
    </rPh>
    <phoneticPr fontId="2"/>
  </si>
  <si>
    <t>新の控除額①</t>
    <rPh sb="0" eb="1">
      <t>シン</t>
    </rPh>
    <rPh sb="2" eb="5">
      <t>コウジョガク</t>
    </rPh>
    <phoneticPr fontId="2"/>
  </si>
  <si>
    <t>旧の控除額②</t>
    <rPh sb="0" eb="1">
      <t>キュウ</t>
    </rPh>
    <rPh sb="2" eb="5">
      <t>コウジョガク</t>
    </rPh>
    <phoneticPr fontId="2"/>
  </si>
  <si>
    <t>②と③の大きい方　（イ）</t>
    <rPh sb="4" eb="5">
      <t>オオ</t>
    </rPh>
    <rPh sb="7" eb="8">
      <t>ホウ</t>
    </rPh>
    <phoneticPr fontId="2"/>
  </si>
  <si>
    <t>①+②=③</t>
    <phoneticPr fontId="2"/>
  </si>
  <si>
    <t>フリガナ</t>
    <phoneticPr fontId="2"/>
  </si>
  <si>
    <t>税務署</t>
    <rPh sb="0" eb="3">
      <t>ゼイムショ</t>
    </rPh>
    <phoneticPr fontId="2"/>
  </si>
  <si>
    <t>給与の支払者</t>
    <rPh sb="0" eb="2">
      <t>キュウヨ</t>
    </rPh>
    <rPh sb="3" eb="6">
      <t>シハライシャ</t>
    </rPh>
    <phoneticPr fontId="2"/>
  </si>
  <si>
    <t>法人番号</t>
    <rPh sb="0" eb="4">
      <t>ホウジンバンゴウ</t>
    </rPh>
    <phoneticPr fontId="2"/>
  </si>
  <si>
    <t>控除額（ロ）</t>
    <rPh sb="0" eb="3">
      <t>コウジョガク</t>
    </rPh>
    <phoneticPr fontId="2"/>
  </si>
  <si>
    <t>保険料合計額　C</t>
    <rPh sb="0" eb="3">
      <t>ホケンリョウ</t>
    </rPh>
    <rPh sb="3" eb="5">
      <t>ゴウケイ</t>
    </rPh>
    <rPh sb="5" eb="6">
      <t>ガク</t>
    </rPh>
    <phoneticPr fontId="2"/>
  </si>
  <si>
    <t>新の合計額　A</t>
    <rPh sb="0" eb="1">
      <t>シン</t>
    </rPh>
    <rPh sb="2" eb="5">
      <t>ゴウケイガク</t>
    </rPh>
    <phoneticPr fontId="2"/>
  </si>
  <si>
    <t>旧の合計額　B</t>
    <rPh sb="0" eb="1">
      <t>キュウ</t>
    </rPh>
    <rPh sb="2" eb="4">
      <t>ゴウケイ</t>
    </rPh>
    <rPh sb="4" eb="5">
      <t>ガク</t>
    </rPh>
    <phoneticPr fontId="2"/>
  </si>
  <si>
    <t>(ロ）の最高</t>
    <rPh sb="4" eb="6">
      <t>サイコウ</t>
    </rPh>
    <phoneticPr fontId="2"/>
  </si>
  <si>
    <t>新の合計額　D</t>
    <rPh sb="0" eb="1">
      <t>シン</t>
    </rPh>
    <rPh sb="2" eb="5">
      <t>ゴウケイガク</t>
    </rPh>
    <phoneticPr fontId="2"/>
  </si>
  <si>
    <t>旧の合計額　E</t>
    <rPh sb="0" eb="1">
      <t>キュウ</t>
    </rPh>
    <rPh sb="2" eb="4">
      <t>ゴウケイ</t>
    </rPh>
    <rPh sb="4" eb="5">
      <t>ガク</t>
    </rPh>
    <phoneticPr fontId="2"/>
  </si>
  <si>
    <t>Dの控除額④</t>
    <rPh sb="2" eb="5">
      <t>コウジョガク</t>
    </rPh>
    <phoneticPr fontId="2"/>
  </si>
  <si>
    <t>Eの控除額⑤</t>
    <rPh sb="2" eb="5">
      <t>コウジョガク</t>
    </rPh>
    <phoneticPr fontId="2"/>
  </si>
  <si>
    <t>④+⑤=⑥</t>
    <phoneticPr fontId="2"/>
  </si>
  <si>
    <t>⑤と⑥の大きい方　（ハ）</t>
    <rPh sb="4" eb="5">
      <t>オオ</t>
    </rPh>
    <rPh sb="7" eb="8">
      <t>ホウ</t>
    </rPh>
    <phoneticPr fontId="2"/>
  </si>
  <si>
    <t>イ　ロ　ハの計</t>
    <rPh sb="6" eb="7">
      <t>ケイ</t>
    </rPh>
    <phoneticPr fontId="2"/>
  </si>
  <si>
    <t>○文字超なら改行→</t>
    <rPh sb="1" eb="3">
      <t>モジ</t>
    </rPh>
    <rPh sb="3" eb="4">
      <t>チョウ</t>
    </rPh>
    <rPh sb="6" eb="8">
      <t>カイギョウ</t>
    </rPh>
    <phoneticPr fontId="2"/>
  </si>
  <si>
    <t>一般</t>
    <rPh sb="0" eb="2">
      <t>イッパン</t>
    </rPh>
    <phoneticPr fontId="2"/>
  </si>
  <si>
    <t>地震</t>
    <rPh sb="0" eb="2">
      <t>ジシン</t>
    </rPh>
    <phoneticPr fontId="2"/>
  </si>
  <si>
    <t>保険対象の</t>
    <rPh sb="0" eb="4">
      <t>ホケンタイショウ</t>
    </rPh>
    <phoneticPr fontId="2"/>
  </si>
  <si>
    <t>（B)</t>
    <phoneticPr fontId="2"/>
  </si>
  <si>
    <t>（B)の最高</t>
    <rPh sb="4" eb="6">
      <t>サイコウ</t>
    </rPh>
    <phoneticPr fontId="2"/>
  </si>
  <si>
    <t>旧長期</t>
    <rPh sb="0" eb="3">
      <t>キュウチョウキ</t>
    </rPh>
    <phoneticPr fontId="2"/>
  </si>
  <si>
    <t>（C)</t>
    <phoneticPr fontId="2"/>
  </si>
  <si>
    <t>（C)の最高</t>
    <rPh sb="4" eb="6">
      <t>サイコウ</t>
    </rPh>
    <phoneticPr fontId="2"/>
  </si>
  <si>
    <t>控除計算額</t>
    <rPh sb="0" eb="2">
      <t>コウジョ</t>
    </rPh>
    <rPh sb="2" eb="4">
      <t>ケイサン</t>
    </rPh>
    <rPh sb="4" eb="5">
      <t>ガク</t>
    </rPh>
    <phoneticPr fontId="2"/>
  </si>
  <si>
    <t>地震保険の合計（B）</t>
    <rPh sb="0" eb="4">
      <t>ジシンホケン</t>
    </rPh>
    <rPh sb="5" eb="7">
      <t>ゴウケイ</t>
    </rPh>
    <phoneticPr fontId="2"/>
  </si>
  <si>
    <t>旧長期損害保険料の合計（C）</t>
    <rPh sb="0" eb="1">
      <t>キュウ</t>
    </rPh>
    <rPh sb="1" eb="3">
      <t>チョウキ</t>
    </rPh>
    <rPh sb="3" eb="5">
      <t>ソンガイ</t>
    </rPh>
    <rPh sb="5" eb="8">
      <t>ホケンリョウ</t>
    </rPh>
    <rPh sb="9" eb="11">
      <t>ゴウケイ</t>
    </rPh>
    <phoneticPr fontId="2"/>
  </si>
  <si>
    <t>+</t>
    <phoneticPr fontId="2"/>
  </si>
  <si>
    <t>（C)の金額</t>
    <rPh sb="4" eb="6">
      <t>キンガク</t>
    </rPh>
    <phoneticPr fontId="2"/>
  </si>
  <si>
    <t>端数切り上げ</t>
    <rPh sb="0" eb="2">
      <t>ハスウ</t>
    </rPh>
    <rPh sb="2" eb="3">
      <t>キ</t>
    </rPh>
    <rPh sb="4" eb="5">
      <t>ア</t>
    </rPh>
    <phoneticPr fontId="2"/>
  </si>
  <si>
    <t>地震保険計の最高</t>
    <rPh sb="0" eb="4">
      <t>ジシンホケン</t>
    </rPh>
    <rPh sb="4" eb="5">
      <t>ケイ</t>
    </rPh>
    <rPh sb="6" eb="8">
      <t>サイコウ</t>
    </rPh>
    <phoneticPr fontId="2"/>
  </si>
  <si>
    <t>（ｃ）が10000円超の場合は（C)×1/2+5000円</t>
    <rPh sb="9" eb="10">
      <t>エン</t>
    </rPh>
    <rPh sb="10" eb="11">
      <t>チョウ</t>
    </rPh>
    <rPh sb="12" eb="14">
      <t>バアイ</t>
    </rPh>
    <rPh sb="27" eb="28">
      <t>エン</t>
    </rPh>
    <phoneticPr fontId="2"/>
  </si>
  <si>
    <t>社会保険</t>
    <rPh sb="0" eb="2">
      <t>シャカイ</t>
    </rPh>
    <rPh sb="2" eb="4">
      <t>ホケン</t>
    </rPh>
    <phoneticPr fontId="2"/>
  </si>
  <si>
    <t>合計（控除額）</t>
    <rPh sb="0" eb="2">
      <t>ゴウケイ</t>
    </rPh>
    <rPh sb="3" eb="6">
      <t>コウジョガク</t>
    </rPh>
    <phoneticPr fontId="2"/>
  </si>
  <si>
    <t>種類</t>
    <rPh sb="0" eb="2">
      <t>シュルイ</t>
    </rPh>
    <phoneticPr fontId="2"/>
  </si>
  <si>
    <t>小規模</t>
    <rPh sb="0" eb="3">
      <t>ショウキボ</t>
    </rPh>
    <phoneticPr fontId="2"/>
  </si>
  <si>
    <t>中小企業基盤整備機構の共済掛金</t>
    <rPh sb="0" eb="4">
      <t>チュウショウキギョウ</t>
    </rPh>
    <rPh sb="4" eb="10">
      <t>キバンセイビキコウ</t>
    </rPh>
    <rPh sb="11" eb="13">
      <t>キョウサイ</t>
    </rPh>
    <rPh sb="13" eb="15">
      <t>カケキン</t>
    </rPh>
    <phoneticPr fontId="2"/>
  </si>
  <si>
    <t>確定拠出年金　企業型　掛金</t>
    <rPh sb="0" eb="2">
      <t>カクテイ</t>
    </rPh>
    <rPh sb="2" eb="4">
      <t>キョシュツ</t>
    </rPh>
    <rPh sb="4" eb="6">
      <t>ネンキン</t>
    </rPh>
    <rPh sb="7" eb="10">
      <t>キギョウガタ</t>
    </rPh>
    <rPh sb="11" eb="13">
      <t>カケキン</t>
    </rPh>
    <phoneticPr fontId="2"/>
  </si>
  <si>
    <t>確定拠出年金　個人型　掛金</t>
    <rPh sb="0" eb="2">
      <t>カクテイ</t>
    </rPh>
    <rPh sb="2" eb="4">
      <t>キョシュツ</t>
    </rPh>
    <rPh sb="4" eb="6">
      <t>ネンキン</t>
    </rPh>
    <rPh sb="7" eb="10">
      <t>コジンガタ</t>
    </rPh>
    <rPh sb="11" eb="13">
      <t>カケキン</t>
    </rPh>
    <phoneticPr fontId="2"/>
  </si>
  <si>
    <t>心身障害者扶養共済制度の掛金</t>
    <rPh sb="0" eb="5">
      <t>シンシンショウガイシャ</t>
    </rPh>
    <rPh sb="5" eb="7">
      <t>フヨウ</t>
    </rPh>
    <rPh sb="7" eb="9">
      <t>キョウサイ</t>
    </rPh>
    <rPh sb="9" eb="11">
      <t>セイド</t>
    </rPh>
    <rPh sb="12" eb="14">
      <t>カケキン</t>
    </rPh>
    <phoneticPr fontId="2"/>
  </si>
  <si>
    <t>↓</t>
    <phoneticPr fontId="2"/>
  </si>
  <si>
    <t>保険会社</t>
    <rPh sb="0" eb="4">
      <t>ホケンカイシャ</t>
    </rPh>
    <phoneticPr fontId="2"/>
  </si>
  <si>
    <t>名　　　称</t>
    <phoneticPr fontId="2"/>
  </si>
  <si>
    <t>保険等の</t>
    <rPh sb="0" eb="3">
      <t>ホケントウ</t>
    </rPh>
    <phoneticPr fontId="2"/>
  </si>
  <si>
    <t>種　　類</t>
    <phoneticPr fontId="2"/>
  </si>
  <si>
    <t>保険</t>
    <rPh sb="0" eb="2">
      <t>ホケン</t>
    </rPh>
    <phoneticPr fontId="2"/>
  </si>
  <si>
    <t>保険の</t>
    <rPh sb="0" eb="2">
      <t>ホケン</t>
    </rPh>
    <phoneticPr fontId="2"/>
  </si>
  <si>
    <t>契約者</t>
    <phoneticPr fontId="2"/>
  </si>
  <si>
    <t>受取人</t>
    <phoneticPr fontId="2"/>
  </si>
  <si>
    <t>地震</t>
    <rPh sb="0" eb="2">
      <t>ジシン</t>
    </rPh>
    <phoneticPr fontId="2"/>
  </si>
  <si>
    <t>旧長期</t>
    <rPh sb="0" eb="1">
      <t>キュウ</t>
    </rPh>
    <rPh sb="1" eb="3">
      <t>チョウキ</t>
    </rPh>
    <phoneticPr fontId="2"/>
  </si>
  <si>
    <t>保険金の</t>
    <rPh sb="0" eb="3">
      <t>ホケンキン</t>
    </rPh>
    <phoneticPr fontId="2"/>
  </si>
  <si>
    <t>続柄</t>
    <phoneticPr fontId="2"/>
  </si>
  <si>
    <t>区分</t>
    <rPh sb="0" eb="2">
      <t>クブン</t>
    </rPh>
    <phoneticPr fontId="2"/>
  </si>
  <si>
    <t>地震・旧長期</t>
    <phoneticPr fontId="2"/>
  </si>
  <si>
    <t>支払った</t>
  </si>
  <si>
    <t>支払った</t>
    <phoneticPr fontId="2"/>
  </si>
  <si>
    <t>保険料</t>
    <rPh sb="0" eb="3">
      <t>ホケンリョウ</t>
    </rPh>
    <phoneticPr fontId="2"/>
  </si>
  <si>
    <t>支払先</t>
    <phoneticPr fontId="2"/>
  </si>
  <si>
    <t>社会保険の</t>
    <rPh sb="0" eb="4">
      <t>シャカイホケン</t>
    </rPh>
    <phoneticPr fontId="2"/>
  </si>
  <si>
    <t>種　　類</t>
    <phoneticPr fontId="2"/>
  </si>
  <si>
    <t>設定</t>
    <rPh sb="0" eb="2">
      <t>セッテイ</t>
    </rPh>
    <phoneticPr fontId="2"/>
  </si>
  <si>
    <t>欄</t>
    <rPh sb="0" eb="1">
      <t>ラン</t>
    </rPh>
    <phoneticPr fontId="2"/>
  </si>
  <si>
    <t>保険等の種類</t>
    <rPh sb="0" eb="3">
      <t>ホケントウ</t>
    </rPh>
    <rPh sb="4" eb="6">
      <t>シュルイ</t>
    </rPh>
    <phoneticPr fontId="2"/>
  </si>
  <si>
    <t>種類（目的）</t>
    <rPh sb="3" eb="5">
      <t>モクテキ</t>
    </rPh>
    <phoneticPr fontId="2"/>
  </si>
  <si>
    <t>地震</t>
    <rPh sb="0" eb="2">
      <t>ジシン</t>
    </rPh>
    <phoneticPr fontId="2"/>
  </si>
  <si>
    <t>旧長期</t>
    <rPh sb="0" eb="3">
      <t>キュウチョウキ</t>
    </rPh>
    <phoneticPr fontId="2"/>
  </si>
  <si>
    <t>2段とする文字数(生保）</t>
    <rPh sb="1" eb="2">
      <t>ダン</t>
    </rPh>
    <rPh sb="5" eb="8">
      <t>モジスウ</t>
    </rPh>
    <rPh sb="9" eb="11">
      <t>セイホ</t>
    </rPh>
    <phoneticPr fontId="2"/>
  </si>
  <si>
    <t>２段とする文字数(地震）</t>
    <rPh sb="1" eb="2">
      <t>ダン</t>
    </rPh>
    <rPh sb="5" eb="8">
      <t>モジスウ</t>
    </rPh>
    <rPh sb="9" eb="11">
      <t>ジシン</t>
    </rPh>
    <phoneticPr fontId="2"/>
  </si>
  <si>
    <t>支払った保険料</t>
    <phoneticPr fontId="2"/>
  </si>
  <si>
    <t>介護医療</t>
    <rPh sb="0" eb="4">
      <t>カイゴイリョウ</t>
    </rPh>
    <phoneticPr fontId="2"/>
  </si>
  <si>
    <t>個人年金</t>
    <rPh sb="0" eb="4">
      <t>コジンネンキン</t>
    </rPh>
    <phoneticPr fontId="2"/>
  </si>
  <si>
    <t>受取人</t>
    <rPh sb="0" eb="3">
      <t>ウケトリニン</t>
    </rPh>
    <phoneticPr fontId="2"/>
  </si>
  <si>
    <t>続柄</t>
    <rPh sb="0" eb="1">
      <t>ツヅ</t>
    </rPh>
    <rPh sb="1" eb="2">
      <t>ガラ</t>
    </rPh>
    <phoneticPr fontId="2"/>
  </si>
  <si>
    <t>総計</t>
    <rPh sb="0" eb="2">
      <t>ソウケイ</t>
    </rPh>
    <phoneticPr fontId="2"/>
  </si>
  <si>
    <t>保険会社</t>
    <rPh sb="0" eb="4">
      <t>ホケンカイシャ</t>
    </rPh>
    <phoneticPr fontId="2"/>
  </si>
  <si>
    <t>契約者</t>
    <rPh sb="0" eb="3">
      <t>ケイヤクシャ</t>
    </rPh>
    <phoneticPr fontId="2"/>
  </si>
  <si>
    <t>受取人</t>
    <rPh sb="0" eb="3">
      <t>ウケトリニン</t>
    </rPh>
    <phoneticPr fontId="2"/>
  </si>
  <si>
    <t>続柄</t>
    <rPh sb="0" eb="1">
      <t>ツヅ</t>
    </rPh>
    <rPh sb="1" eb="2">
      <t>ガラ</t>
    </rPh>
    <phoneticPr fontId="2"/>
  </si>
  <si>
    <t>新旧区分</t>
    <rPh sb="0" eb="2">
      <t>シンキュウ</t>
    </rPh>
    <rPh sb="2" eb="4">
      <t>クブン</t>
    </rPh>
    <phoneticPr fontId="2"/>
  </si>
  <si>
    <t>新</t>
    <rPh sb="0" eb="1">
      <t>シン</t>
    </rPh>
    <phoneticPr fontId="2"/>
  </si>
  <si>
    <t>旧</t>
    <rPh sb="0" eb="1">
      <t>キュウ</t>
    </rPh>
    <phoneticPr fontId="2"/>
  </si>
  <si>
    <t>給与の支払者住所</t>
    <rPh sb="6" eb="8">
      <t>ジュウショ</t>
    </rPh>
    <phoneticPr fontId="2"/>
  </si>
  <si>
    <t>整理番号</t>
    <rPh sb="0" eb="4">
      <t>セイリバンゴウ</t>
    </rPh>
    <phoneticPr fontId="2"/>
  </si>
  <si>
    <t>整理番号（自動表示）</t>
    <rPh sb="0" eb="4">
      <t>セイリバンゴウ</t>
    </rPh>
    <rPh sb="5" eb="7">
      <t>ジドウ</t>
    </rPh>
    <rPh sb="7" eb="9">
      <t>ヒョウジ</t>
    </rPh>
    <phoneticPr fontId="2"/>
  </si>
  <si>
    <t>氏名</t>
    <rPh sb="0" eb="2">
      <t>シメイ</t>
    </rPh>
    <phoneticPr fontId="2"/>
  </si>
  <si>
    <t>入力氏名</t>
    <rPh sb="0" eb="2">
      <t>ニュウリョク</t>
    </rPh>
    <rPh sb="2" eb="4">
      <t>シメイ</t>
    </rPh>
    <phoneticPr fontId="2"/>
  </si>
  <si>
    <t>年金受取人</t>
    <rPh sb="0" eb="2">
      <t>ネンキン</t>
    </rPh>
    <rPh sb="2" eb="5">
      <t>ウケトリニン</t>
    </rPh>
    <phoneticPr fontId="2"/>
  </si>
  <si>
    <t>介護医療保険</t>
    <rPh sb="0" eb="4">
      <t>カイゴイリョウ</t>
    </rPh>
    <rPh sb="4" eb="6">
      <t>ホケン</t>
    </rPh>
    <phoneticPr fontId="2"/>
  </si>
  <si>
    <t>総額</t>
    <rPh sb="0" eb="2">
      <t>ソウガク</t>
    </rPh>
    <phoneticPr fontId="2"/>
  </si>
  <si>
    <t>内訳</t>
    <rPh sb="0" eb="2">
      <t>ウチワケ</t>
    </rPh>
    <phoneticPr fontId="2"/>
  </si>
  <si>
    <t>旧</t>
    <rPh sb="0" eb="1">
      <t>キュウ</t>
    </rPh>
    <phoneticPr fontId="2"/>
  </si>
  <si>
    <t>旧以外</t>
    <rPh sb="0" eb="1">
      <t>キュウ</t>
    </rPh>
    <rPh sb="1" eb="3">
      <t>イガイ</t>
    </rPh>
    <phoneticPr fontId="2"/>
  </si>
  <si>
    <t>手書き総額</t>
    <rPh sb="0" eb="2">
      <t>テガ</t>
    </rPh>
    <rPh sb="3" eb="5">
      <t>ソウガク</t>
    </rPh>
    <phoneticPr fontId="2"/>
  </si>
  <si>
    <t>★</t>
    <phoneticPr fontId="2"/>
  </si>
  <si>
    <t>本人</t>
    <rPh sb="0" eb="2">
      <t>ホンニン</t>
    </rPh>
    <phoneticPr fontId="2"/>
  </si>
  <si>
    <t>本人の氏名が入る</t>
    <rPh sb="0" eb="2">
      <t>ホンニン</t>
    </rPh>
    <rPh sb="3" eb="5">
      <t>シメイ</t>
    </rPh>
    <rPh sb="6" eb="7">
      <t>ハイ</t>
    </rPh>
    <phoneticPr fontId="2"/>
  </si>
  <si>
    <t>※　氏名</t>
    <rPh sb="2" eb="4">
      <t>シメイ</t>
    </rPh>
    <phoneticPr fontId="2"/>
  </si>
  <si>
    <t>本人</t>
    <rPh sb="0" eb="2">
      <t>ホンニン</t>
    </rPh>
    <phoneticPr fontId="2"/>
  </si>
  <si>
    <t>本人が出る</t>
    <rPh sb="0" eb="2">
      <t>ホンニン</t>
    </rPh>
    <rPh sb="3" eb="4">
      <t>デ</t>
    </rPh>
    <phoneticPr fontId="2"/>
  </si>
  <si>
    <t>配偶者氏名</t>
    <rPh sb="0" eb="3">
      <t>ハイグウシャ</t>
    </rPh>
    <rPh sb="3" eb="5">
      <t>シメイ</t>
    </rPh>
    <phoneticPr fontId="2"/>
  </si>
  <si>
    <t>配偶者マイナンバー</t>
    <rPh sb="0" eb="3">
      <t>ハイグウシャ</t>
    </rPh>
    <phoneticPr fontId="2"/>
  </si>
  <si>
    <t>配偶者生年月日</t>
    <rPh sb="0" eb="3">
      <t>ハイグウシャ</t>
    </rPh>
    <rPh sb="3" eb="7">
      <t>セイネンガッピ</t>
    </rPh>
    <phoneticPr fontId="2"/>
  </si>
  <si>
    <t>配偶者住所</t>
    <rPh sb="0" eb="3">
      <t>ハイグウシャ</t>
    </rPh>
    <rPh sb="3" eb="5">
      <t>ジュウショ</t>
    </rPh>
    <phoneticPr fontId="2"/>
  </si>
  <si>
    <t>配偶者と別居の場合、</t>
    <phoneticPr fontId="2"/>
  </si>
  <si>
    <t>給与収入</t>
    <rPh sb="0" eb="2">
      <t>キュウヨ</t>
    </rPh>
    <rPh sb="2" eb="4">
      <t>シュウニュウ</t>
    </rPh>
    <phoneticPr fontId="2"/>
  </si>
  <si>
    <t>給与所得</t>
    <rPh sb="0" eb="2">
      <t>キュウヨ</t>
    </rPh>
    <rPh sb="2" eb="4">
      <t>ショトク</t>
    </rPh>
    <phoneticPr fontId="2"/>
  </si>
  <si>
    <t>受取人の</t>
    <rPh sb="0" eb="3">
      <t>ウケトリニン</t>
    </rPh>
    <phoneticPr fontId="2"/>
  </si>
  <si>
    <t>同居</t>
    <phoneticPr fontId="2"/>
  </si>
  <si>
    <t>別居</t>
    <phoneticPr fontId="2"/>
  </si>
  <si>
    <t>配偶者の収入・所得</t>
    <rPh sb="0" eb="3">
      <t>ハイグウシャ</t>
    </rPh>
    <rPh sb="4" eb="6">
      <t>シュウニュウ</t>
    </rPh>
    <rPh sb="7" eb="9">
      <t>ショトク</t>
    </rPh>
    <phoneticPr fontId="2"/>
  </si>
  <si>
    <t>該当・非該当</t>
    <rPh sb="0" eb="2">
      <t>ガイトウ</t>
    </rPh>
    <rPh sb="3" eb="6">
      <t>ヒガイトウ</t>
    </rPh>
    <phoneticPr fontId="2"/>
  </si>
  <si>
    <t>非該当</t>
    <rPh sb="0" eb="3">
      <t>ヒガイトウ</t>
    </rPh>
    <phoneticPr fontId="2"/>
  </si>
  <si>
    <t>該当</t>
    <rPh sb="0" eb="2">
      <t>ガイトウ</t>
    </rPh>
    <phoneticPr fontId="2"/>
  </si>
  <si>
    <t>年金収入</t>
    <rPh sb="0" eb="2">
      <t>ネンキン</t>
    </rPh>
    <rPh sb="2" eb="4">
      <t>シュウニュウ</t>
    </rPh>
    <phoneticPr fontId="2"/>
  </si>
  <si>
    <t>（A)</t>
    <phoneticPr fontId="2"/>
  </si>
  <si>
    <t>-</t>
    <phoneticPr fontId="2"/>
  </si>
  <si>
    <t>申告者が特別障害者</t>
    <rPh sb="0" eb="3">
      <t>シンコクシャ</t>
    </rPh>
    <rPh sb="4" eb="6">
      <t>トクベツ</t>
    </rPh>
    <rPh sb="6" eb="9">
      <t>ショウガイシャ</t>
    </rPh>
    <phoneticPr fontId="2"/>
  </si>
  <si>
    <t>２３歳未満の扶養親族あり</t>
    <rPh sb="2" eb="3">
      <t>サイ</t>
    </rPh>
    <rPh sb="3" eb="5">
      <t>ミマン</t>
    </rPh>
    <rPh sb="6" eb="10">
      <t>フヨウシンゾク</t>
    </rPh>
    <phoneticPr fontId="2"/>
  </si>
  <si>
    <t>扶養親族に特別障害者あり</t>
    <rPh sb="0" eb="4">
      <t>フヨウシンゾク</t>
    </rPh>
    <rPh sb="5" eb="7">
      <t>トクベツ</t>
    </rPh>
    <rPh sb="7" eb="10">
      <t>ショウガイシャ</t>
    </rPh>
    <phoneticPr fontId="2"/>
  </si>
  <si>
    <t>同一生計配偶者が特別障害者</t>
    <rPh sb="0" eb="2">
      <t>ドウイツ</t>
    </rPh>
    <rPh sb="2" eb="4">
      <t>セイケイ</t>
    </rPh>
    <rPh sb="4" eb="7">
      <t>ハイグウシャ</t>
    </rPh>
    <rPh sb="8" eb="10">
      <t>トクベツ</t>
    </rPh>
    <rPh sb="10" eb="13">
      <t>ショウガイシャ</t>
    </rPh>
    <phoneticPr fontId="2"/>
  </si>
  <si>
    <t>該当者氏名（１名のみで可）</t>
    <rPh sb="0" eb="3">
      <t>ガイトウシャ</t>
    </rPh>
    <rPh sb="3" eb="5">
      <t>シメイ</t>
    </rPh>
    <rPh sb="7" eb="8">
      <t>メイ</t>
    </rPh>
    <rPh sb="11" eb="12">
      <t>カ</t>
    </rPh>
    <phoneticPr fontId="2"/>
  </si>
  <si>
    <t>整理番号（自動表示）</t>
  </si>
  <si>
    <t>しない</t>
    <phoneticPr fontId="2"/>
  </si>
  <si>
    <t>する</t>
    <phoneticPr fontId="2"/>
  </si>
  <si>
    <t>させる</t>
    <phoneticPr fontId="2"/>
  </si>
  <si>
    <t>させない</t>
  </si>
  <si>
    <t>させない</t>
    <phoneticPr fontId="2"/>
  </si>
  <si>
    <t>記載あり</t>
    <rPh sb="0" eb="2">
      <t>キサイ</t>
    </rPh>
    <phoneticPr fontId="2"/>
  </si>
  <si>
    <t>記載なし</t>
    <rPh sb="0" eb="2">
      <t>キサイ</t>
    </rPh>
    <phoneticPr fontId="2"/>
  </si>
  <si>
    <t>別居の場合、
該当者の住所</t>
    <rPh sb="0" eb="2">
      <t>ベッキョ</t>
    </rPh>
    <rPh sb="3" eb="5">
      <t>バアイ</t>
    </rPh>
    <rPh sb="7" eb="10">
      <t>ガイトウシャ</t>
    </rPh>
    <rPh sb="11" eb="13">
      <t>ジュウショ</t>
    </rPh>
    <phoneticPr fontId="2"/>
  </si>
  <si>
    <t>枚目</t>
    <rPh sb="0" eb="2">
      <t>マイメ</t>
    </rPh>
    <phoneticPr fontId="2"/>
  </si>
  <si>
    <t>提出は不要です。</t>
    <rPh sb="0" eb="2">
      <t>テイシュツ</t>
    </rPh>
    <rPh sb="3" eb="5">
      <t>フヨウ</t>
    </rPh>
    <phoneticPr fontId="2"/>
  </si>
  <si>
    <t>様式のみ</t>
    <phoneticPr fontId="2"/>
  </si>
  <si>
    <t>一般</t>
    <rPh sb="0" eb="2">
      <t>イッパン</t>
    </rPh>
    <phoneticPr fontId="2"/>
  </si>
  <si>
    <t>介護</t>
    <rPh sb="0" eb="2">
      <t>カイゴ</t>
    </rPh>
    <phoneticPr fontId="2"/>
  </si>
  <si>
    <t>個人年金</t>
    <rPh sb="0" eb="4">
      <t>コジンネンキン</t>
    </rPh>
    <phoneticPr fontId="2"/>
  </si>
  <si>
    <t>種類の文字数↓</t>
    <phoneticPr fontId="2"/>
  </si>
  <si>
    <t>⑥の最高</t>
    <rPh sb="2" eb="4">
      <t>サイコウ</t>
    </rPh>
    <phoneticPr fontId="2"/>
  </si>
  <si>
    <t>年数</t>
    <rPh sb="0" eb="2">
      <t>ネンスウ</t>
    </rPh>
    <phoneticPr fontId="2"/>
  </si>
  <si>
    <t>保険会社等</t>
    <rPh sb="0" eb="4">
      <t>ホケンカイシャ</t>
    </rPh>
    <rPh sb="4" eb="5">
      <t>トウ</t>
    </rPh>
    <phoneticPr fontId="2"/>
  </si>
  <si>
    <t>★</t>
    <phoneticPr fontId="2"/>
  </si>
  <si>
    <t>証明書番号</t>
    <rPh sb="0" eb="3">
      <t>ショウメイショ</t>
    </rPh>
    <rPh sb="3" eb="5">
      <t>バンゴウ</t>
    </rPh>
    <phoneticPr fontId="2"/>
  </si>
  <si>
    <t>印字する</t>
    <rPh sb="0" eb="2">
      <t>インジ</t>
    </rPh>
    <phoneticPr fontId="2"/>
  </si>
  <si>
    <t>印字しない</t>
    <rPh sb="0" eb="2">
      <t>インジ</t>
    </rPh>
    <phoneticPr fontId="2"/>
  </si>
  <si>
    <t>証明書の整理番号</t>
    <rPh sb="0" eb="3">
      <t>ショウメイショ</t>
    </rPh>
    <rPh sb="4" eb="8">
      <t>セイリバンゴウ</t>
    </rPh>
    <phoneticPr fontId="2"/>
  </si>
  <si>
    <t>地震入力</t>
    <rPh sb="0" eb="4">
      <t>ジシンニュウリョク</t>
    </rPh>
    <phoneticPr fontId="2"/>
  </si>
  <si>
    <t>社保入力</t>
    <rPh sb="0" eb="2">
      <t>シャホ</t>
    </rPh>
    <rPh sb="2" eb="4">
      <t>ニュウリョク</t>
    </rPh>
    <phoneticPr fontId="2"/>
  </si>
  <si>
    <t>小規模入力</t>
    <rPh sb="0" eb="3">
      <t>ショウキボ</t>
    </rPh>
    <rPh sb="3" eb="5">
      <t>ニュウリョク</t>
    </rPh>
    <phoneticPr fontId="2"/>
  </si>
  <si>
    <t>入力一般</t>
    <rPh sb="0" eb="4">
      <t>ニュウリョクイッパン</t>
    </rPh>
    <phoneticPr fontId="2"/>
  </si>
  <si>
    <t>入力介護</t>
    <rPh sb="0" eb="2">
      <t>ニュウリョク</t>
    </rPh>
    <rPh sb="2" eb="4">
      <t>カイゴ</t>
    </rPh>
    <phoneticPr fontId="2"/>
  </si>
  <si>
    <t>入力年金</t>
    <rPh sb="0" eb="2">
      <t>ニュウリョク</t>
    </rPh>
    <rPh sb="2" eb="4">
      <t>ネンキン</t>
    </rPh>
    <phoneticPr fontId="2"/>
  </si>
  <si>
    <t>旧以外（新）</t>
    <rPh sb="0" eb="3">
      <t>キュウイガイ</t>
    </rPh>
    <rPh sb="4" eb="5">
      <t>シン</t>
    </rPh>
    <phoneticPr fontId="2"/>
  </si>
  <si>
    <t>表示するようにします。全て１段で表示させるには、９９と入力してください。</t>
    <rPh sb="11" eb="12">
      <t>スベ</t>
    </rPh>
    <rPh sb="14" eb="15">
      <t>ダン</t>
    </rPh>
    <rPh sb="16" eb="18">
      <t>ヒョウジ</t>
    </rPh>
    <rPh sb="27" eb="29">
      <t>ニュウリョク</t>
    </rPh>
    <phoneticPr fontId="2"/>
  </si>
  <si>
    <t>一般</t>
    <rPh sb="0" eb="2">
      <t>イッパン</t>
    </rPh>
    <phoneticPr fontId="2"/>
  </si>
  <si>
    <t>介護</t>
    <rPh sb="0" eb="2">
      <t>カイゴ</t>
    </rPh>
    <phoneticPr fontId="2"/>
  </si>
  <si>
    <t>年金</t>
    <rPh sb="0" eb="2">
      <t>ネンキン</t>
    </rPh>
    <phoneticPr fontId="2"/>
  </si>
  <si>
    <t>地震</t>
    <rPh sb="0" eb="2">
      <t>ジシン</t>
    </rPh>
    <phoneticPr fontId="2"/>
  </si>
  <si>
    <t>社会保険</t>
    <rPh sb="0" eb="4">
      <t>シャカイホケン</t>
    </rPh>
    <phoneticPr fontId="2"/>
  </si>
  <si>
    <t>手書き分</t>
    <rPh sb="0" eb="2">
      <t>テガ</t>
    </rPh>
    <rPh sb="3" eb="4">
      <t>ブン</t>
    </rPh>
    <phoneticPr fontId="2"/>
  </si>
  <si>
    <t>一般・年金
入力あり</t>
    <rPh sb="0" eb="2">
      <t>イッパン</t>
    </rPh>
    <rPh sb="3" eb="5">
      <t>ネンキン</t>
    </rPh>
    <rPh sb="6" eb="8">
      <t>ニュウリョク</t>
    </rPh>
    <phoneticPr fontId="2"/>
  </si>
  <si>
    <t>　　社会保険料控除の例</t>
    <rPh sb="2" eb="7">
      <t>シャカイホケンリョウ</t>
    </rPh>
    <rPh sb="7" eb="9">
      <t>コウジョ</t>
    </rPh>
    <rPh sb="10" eb="11">
      <t>レイ</t>
    </rPh>
    <phoneticPr fontId="1"/>
  </si>
  <si>
    <t>　　　前の勤務先が発行した源泉徴収票を提出していれば申告は不要です。）</t>
    <rPh sb="3" eb="4">
      <t>マエ</t>
    </rPh>
    <rPh sb="5" eb="7">
      <t>キンム</t>
    </rPh>
    <rPh sb="7" eb="8">
      <t>サキ</t>
    </rPh>
    <rPh sb="9" eb="11">
      <t>ハッコウ</t>
    </rPh>
    <phoneticPr fontId="1"/>
  </si>
  <si>
    <t>　　　　　未納になっていた国民健康保険等を支払った</t>
    <phoneticPr fontId="2"/>
  </si>
  <si>
    <t>　　　　　国民年金の学生納付特例の承認を受けた期間の保険料をさかのぼって納めた</t>
    <rPh sb="5" eb="9">
      <t>コクミンネンキン</t>
    </rPh>
    <phoneticPr fontId="1"/>
  </si>
  <si>
    <t>要印刷</t>
    <phoneticPr fontId="2"/>
  </si>
  <si>
    <t>件数</t>
    <rPh sb="0" eb="2">
      <t>ケンスウ</t>
    </rPh>
    <phoneticPr fontId="2"/>
  </si>
  <si>
    <t>枚数</t>
    <phoneticPr fontId="2"/>
  </si>
  <si>
    <t>900万円以下</t>
    <rPh sb="3" eb="5">
      <t>マンエン</t>
    </rPh>
    <rPh sb="5" eb="7">
      <t>イカ</t>
    </rPh>
    <phoneticPr fontId="2"/>
  </si>
  <si>
    <t>2500万円超</t>
    <rPh sb="4" eb="7">
      <t>マンエンチョウ</t>
    </rPh>
    <phoneticPr fontId="2"/>
  </si>
  <si>
    <t>　　住民税をどこに納付するかを決めるために重要です。</t>
    <phoneticPr fontId="2"/>
  </si>
  <si>
    <t>申告者の合計所得金額の見込み額</t>
    <rPh sb="0" eb="3">
      <t>シンコクシャ</t>
    </rPh>
    <rPh sb="4" eb="8">
      <t>ゴウケイショトク</t>
    </rPh>
    <rPh sb="8" eb="10">
      <t>キンガク</t>
    </rPh>
    <rPh sb="11" eb="13">
      <t>ミコ</t>
    </rPh>
    <rPh sb="14" eb="15">
      <t>ガク</t>
    </rPh>
    <phoneticPr fontId="2"/>
  </si>
  <si>
    <t>円</t>
    <rPh sb="0" eb="1">
      <t>エン</t>
    </rPh>
    <phoneticPr fontId="2"/>
  </si>
  <si>
    <t>　前職での源泉徴収票を提出済・提出予定ならば</t>
    <rPh sb="1" eb="3">
      <t>ゼンショク</t>
    </rPh>
    <rPh sb="5" eb="10">
      <t>ゲンセンチョウシュウヒョウ</t>
    </rPh>
    <rPh sb="11" eb="13">
      <t>テイシュツ</t>
    </rPh>
    <rPh sb="13" eb="14">
      <t>ズ</t>
    </rPh>
    <rPh sb="15" eb="17">
      <t>テイシュツ</t>
    </rPh>
    <rPh sb="17" eb="19">
      <t>ヨテイ</t>
    </rPh>
    <phoneticPr fontId="2"/>
  </si>
  <si>
    <t>年金の収入額</t>
    <rPh sb="0" eb="2">
      <t>ネンキン</t>
    </rPh>
    <rPh sb="3" eb="5">
      <t>シュウニュウ</t>
    </rPh>
    <rPh sb="5" eb="6">
      <t>ガク</t>
    </rPh>
    <phoneticPr fontId="2"/>
  </si>
  <si>
    <t>配偶者・扶養親族のマイナンバー入力</t>
    <rPh sb="0" eb="3">
      <t>ハイグウシャ</t>
    </rPh>
    <rPh sb="4" eb="8">
      <t>フヨウシンゾク</t>
    </rPh>
    <rPh sb="15" eb="17">
      <t>ニュウリョク</t>
    </rPh>
    <phoneticPr fontId="2"/>
  </si>
  <si>
    <t>配偶者氏名フリガナ</t>
    <rPh sb="0" eb="3">
      <t>ハイグウシャ</t>
    </rPh>
    <rPh sb="3" eb="5">
      <t>シメイ</t>
    </rPh>
    <phoneticPr fontId="2"/>
  </si>
  <si>
    <t>付の住民票上の住所を入力してください。</t>
    <phoneticPr fontId="2"/>
  </si>
  <si>
    <t>900万円超　950万円以下</t>
    <rPh sb="3" eb="6">
      <t>マンエンチョウ</t>
    </rPh>
    <rPh sb="10" eb="14">
      <t>マンエンイカ</t>
    </rPh>
    <phoneticPr fontId="2"/>
  </si>
  <si>
    <t>950万円超　1000万円以下</t>
    <rPh sb="4" eb="6">
      <t>エンチョウ</t>
    </rPh>
    <rPh sb="11" eb="12">
      <t>マン</t>
    </rPh>
    <rPh sb="12" eb="13">
      <t>エン</t>
    </rPh>
    <rPh sb="13" eb="15">
      <t>イカ</t>
    </rPh>
    <phoneticPr fontId="2"/>
  </si>
  <si>
    <t>1000万円超　2400万円以下</t>
    <rPh sb="4" eb="6">
      <t>マンエン</t>
    </rPh>
    <rPh sb="6" eb="7">
      <t>チョウ</t>
    </rPh>
    <rPh sb="12" eb="14">
      <t>マンエン</t>
    </rPh>
    <rPh sb="14" eb="16">
      <t>イカ</t>
    </rPh>
    <phoneticPr fontId="2"/>
  </si>
  <si>
    <t>2400万円超　2450万円以下</t>
    <rPh sb="4" eb="6">
      <t>マンエン</t>
    </rPh>
    <rPh sb="6" eb="7">
      <t>チョウ</t>
    </rPh>
    <rPh sb="12" eb="14">
      <t>マンエン</t>
    </rPh>
    <rPh sb="14" eb="16">
      <t>イカ</t>
    </rPh>
    <phoneticPr fontId="2"/>
  </si>
  <si>
    <t>2450万円超　2500万円以下</t>
    <rPh sb="4" eb="6">
      <t>マンエン</t>
    </rPh>
    <rPh sb="6" eb="7">
      <t>チョウ</t>
    </rPh>
    <rPh sb="12" eb="16">
      <t>マンエンイカ</t>
    </rPh>
    <phoneticPr fontId="2"/>
  </si>
  <si>
    <t>年金　雑所得</t>
    <rPh sb="0" eb="2">
      <t>ネンキン</t>
    </rPh>
    <rPh sb="3" eb="6">
      <t>ザツショトク</t>
    </rPh>
    <phoneticPr fontId="2"/>
  </si>
  <si>
    <t>総所得額</t>
    <rPh sb="0" eb="3">
      <t>ソウショトク</t>
    </rPh>
    <rPh sb="3" eb="4">
      <t>ガク</t>
    </rPh>
    <phoneticPr fontId="2"/>
  </si>
  <si>
    <t>現勤務先からの本年の給与支払額の見積額を入力してください。</t>
    <rPh sb="0" eb="1">
      <t>ゲン</t>
    </rPh>
    <rPh sb="1" eb="4">
      <t>キンムサキ</t>
    </rPh>
    <rPh sb="7" eb="9">
      <t>ホンネン</t>
    </rPh>
    <rPh sb="10" eb="12">
      <t>キュウヨ</t>
    </rPh>
    <rPh sb="12" eb="15">
      <t>シハライガク</t>
    </rPh>
    <rPh sb="16" eb="19">
      <t>ミツモリガク</t>
    </rPh>
    <rPh sb="20" eb="22">
      <t>ニュウリョク</t>
    </rPh>
    <phoneticPr fontId="2"/>
  </si>
  <si>
    <t>給与収入入力</t>
    <rPh sb="0" eb="2">
      <t>キュウヨ</t>
    </rPh>
    <rPh sb="2" eb="4">
      <t>シュウニュウ</t>
    </rPh>
    <rPh sb="4" eb="6">
      <t>ニュウリョク</t>
    </rPh>
    <phoneticPr fontId="2"/>
  </si>
  <si>
    <t>配偶者控除　又は　配偶者特別控除に、</t>
    <rPh sb="0" eb="3">
      <t>ハイグウシャ</t>
    </rPh>
    <rPh sb="3" eb="5">
      <t>コウジョ</t>
    </rPh>
    <rPh sb="6" eb="7">
      <t>マタ</t>
    </rPh>
    <rPh sb="9" eb="12">
      <t>ハイグウシャ</t>
    </rPh>
    <rPh sb="12" eb="14">
      <t>トクベツ</t>
    </rPh>
    <rPh sb="14" eb="16">
      <t>コウジョ</t>
    </rPh>
    <phoneticPr fontId="2"/>
  </si>
  <si>
    <t>申告者の給与収入が８５０万円超となる</t>
    <rPh sb="0" eb="3">
      <t>シンコクシャ</t>
    </rPh>
    <rPh sb="4" eb="6">
      <t>キュウヨ</t>
    </rPh>
    <rPh sb="6" eb="8">
      <t>シュウニュウ</t>
    </rPh>
    <phoneticPr fontId="2"/>
  </si>
  <si>
    <t>該当・非該当</t>
    <rPh sb="0" eb="2">
      <t>ガイトウ</t>
    </rPh>
    <rPh sb="3" eb="6">
      <t>ヒガイトウ</t>
    </rPh>
    <phoneticPr fontId="2"/>
  </si>
  <si>
    <t>申告書」に記載してあるか</t>
    <phoneticPr fontId="2"/>
  </si>
  <si>
    <t>「記載あり」ならば、以下の項目は入力不要です。</t>
    <rPh sb="1" eb="3">
      <t>キサイ</t>
    </rPh>
    <phoneticPr fontId="2"/>
  </si>
  <si>
    <t>申告者用</t>
    <rPh sb="0" eb="3">
      <t>シンコクシャ</t>
    </rPh>
    <rPh sb="3" eb="4">
      <t>ヨウ</t>
    </rPh>
    <phoneticPr fontId="2"/>
  </si>
  <si>
    <t>給与以外の所得　計</t>
  </si>
  <si>
    <t>↓その他の所得があれば、所得額を入力してください。</t>
    <rPh sb="3" eb="4">
      <t>タ</t>
    </rPh>
    <rPh sb="5" eb="7">
      <t>ショトク</t>
    </rPh>
    <rPh sb="12" eb="15">
      <t>ショトクガク</t>
    </rPh>
    <rPh sb="16" eb="18">
      <t>ニュウリョク</t>
    </rPh>
    <phoneticPr fontId="2"/>
  </si>
  <si>
    <r>
      <rPr>
        <sz val="11"/>
        <color theme="1"/>
        <rFont val="HGSｺﾞｼｯｸM"/>
        <family val="3"/>
        <charset val="128"/>
      </rPr>
      <t>計算結果</t>
    </r>
    <r>
      <rPr>
        <sz val="11"/>
        <color theme="1"/>
        <rFont val="HG創英角ｺﾞｼｯｸUB"/>
        <family val="3"/>
        <charset val="128"/>
      </rPr>
      <t>給与所得控除後の金額</t>
    </r>
    <rPh sb="0" eb="4">
      <t>ケイサンケッカ</t>
    </rPh>
    <rPh sb="4" eb="6">
      <t>キュウヨ</t>
    </rPh>
    <rPh sb="6" eb="8">
      <t>ショトク</t>
    </rPh>
    <rPh sb="8" eb="11">
      <t>コウジョゴ</t>
    </rPh>
    <rPh sb="12" eb="14">
      <t>キンガク</t>
    </rPh>
    <phoneticPr fontId="2"/>
  </si>
  <si>
    <t>かける数</t>
    <rPh sb="3" eb="4">
      <t>カズ</t>
    </rPh>
    <phoneticPr fontId="2"/>
  </si>
  <si>
    <t>年齢</t>
    <rPh sb="0" eb="2">
      <t>ネンレイ</t>
    </rPh>
    <phoneticPr fontId="2"/>
  </si>
  <si>
    <t>1000万円以下/1000万円超2000万円以下/2000万円超</t>
    <rPh sb="4" eb="6">
      <t>マンエン</t>
    </rPh>
    <rPh sb="6" eb="8">
      <t>イカ</t>
    </rPh>
    <rPh sb="13" eb="15">
      <t>マンエン</t>
    </rPh>
    <rPh sb="15" eb="16">
      <t>チョウ</t>
    </rPh>
    <rPh sb="20" eb="22">
      <t>マンエン</t>
    </rPh>
    <rPh sb="22" eb="24">
      <t>イカ</t>
    </rPh>
    <rPh sb="29" eb="31">
      <t>マンエン</t>
    </rPh>
    <rPh sb="31" eb="32">
      <t>チョウ</t>
    </rPh>
    <phoneticPr fontId="2"/>
  </si>
  <si>
    <t>…後日入力　または　手書き</t>
    <rPh sb="1" eb="3">
      <t>ゴジツ</t>
    </rPh>
    <rPh sb="3" eb="5">
      <t>ニュウリョク</t>
    </rPh>
    <rPh sb="10" eb="12">
      <t>テガ</t>
    </rPh>
    <phoneticPr fontId="2"/>
  </si>
  <si>
    <t>　年金以外の所得の見込み（区分）</t>
    <rPh sb="1" eb="5">
      <t>ネンキンイガイ</t>
    </rPh>
    <rPh sb="6" eb="8">
      <t>ショトク</t>
    </rPh>
    <rPh sb="9" eb="11">
      <t>ミコ</t>
    </rPh>
    <rPh sb="13" eb="15">
      <t>クブン</t>
    </rPh>
    <phoneticPr fontId="2"/>
  </si>
  <si>
    <t>1000万円超2000万円以下</t>
    <phoneticPr fontId="2"/>
  </si>
  <si>
    <t>配偶者</t>
    <rPh sb="0" eb="3">
      <t>ハイグウシャ</t>
    </rPh>
    <phoneticPr fontId="2"/>
  </si>
  <si>
    <t>　その分の入力は不要です。</t>
    <rPh sb="3" eb="4">
      <t>ブン</t>
    </rPh>
    <rPh sb="5" eb="7">
      <t>ニュウリョク</t>
    </rPh>
    <rPh sb="8" eb="10">
      <t>フヨウ</t>
    </rPh>
    <phoneticPr fontId="2"/>
  </si>
  <si>
    <t>(給与収入だけなら、)</t>
    <rPh sb="1" eb="3">
      <t>キュウヨ</t>
    </rPh>
    <rPh sb="3" eb="5">
      <t>シュウニュウ</t>
    </rPh>
    <phoneticPr fontId="2"/>
  </si>
  <si>
    <t>(1145万円以下）</t>
    <phoneticPr fontId="2"/>
  </si>
  <si>
    <t>(1195万円以下）</t>
    <phoneticPr fontId="2"/>
  </si>
  <si>
    <t>(2595万円以下）</t>
    <phoneticPr fontId="2"/>
  </si>
  <si>
    <t>(2645万円以下）</t>
    <phoneticPr fontId="2"/>
  </si>
  <si>
    <t>(2695万円以下）</t>
    <phoneticPr fontId="2"/>
  </si>
  <si>
    <t>(2695万円超）</t>
    <rPh sb="7" eb="8">
      <t>チョウ</t>
    </rPh>
    <phoneticPr fontId="2"/>
  </si>
  <si>
    <t>再提出締切日</t>
    <rPh sb="0" eb="3">
      <t>サイテイシュツ</t>
    </rPh>
    <rPh sb="3" eb="6">
      <t>シメキリビ</t>
    </rPh>
    <phoneticPr fontId="2"/>
  </si>
  <si>
    <t>年末再調整締切日</t>
    <rPh sb="0" eb="2">
      <t>ネンマツ</t>
    </rPh>
    <rPh sb="2" eb="5">
      <t>サイチョウセイ</t>
    </rPh>
    <rPh sb="5" eb="8">
      <t>シメキリビ</t>
    </rPh>
    <phoneticPr fontId="2"/>
  </si>
  <si>
    <t>年末調整の日</t>
    <rPh sb="0" eb="4">
      <t>ネンマツチョウセイ</t>
    </rPh>
    <rPh sb="5" eb="6">
      <t>ヒ</t>
    </rPh>
    <phoneticPr fontId="2"/>
  </si>
  <si>
    <t>➀</t>
    <phoneticPr fontId="2"/>
  </si>
  <si>
    <t>②</t>
    <phoneticPr fontId="2"/>
  </si>
  <si>
    <t>③</t>
    <phoneticPr fontId="2"/>
  </si>
  <si>
    <t>④</t>
    <phoneticPr fontId="2"/>
  </si>
  <si>
    <t>配偶者控除</t>
    <rPh sb="0" eb="3">
      <t>ハイグウシャ</t>
    </rPh>
    <rPh sb="3" eb="5">
      <t>コウジョ</t>
    </rPh>
    <phoneticPr fontId="2"/>
  </si>
  <si>
    <t>配偶者特別控除</t>
    <rPh sb="0" eb="3">
      <t>ハイグウシャ</t>
    </rPh>
    <rPh sb="3" eb="5">
      <t>トクベツ</t>
    </rPh>
    <rPh sb="5" eb="7">
      <t>コウジョ</t>
    </rPh>
    <phoneticPr fontId="2"/>
  </si>
  <si>
    <t>段目</t>
    <rPh sb="0" eb="2">
      <t>ダンメ</t>
    </rPh>
    <phoneticPr fontId="2"/>
  </si>
  <si>
    <t>配偶者控除の額</t>
    <rPh sb="0" eb="3">
      <t>ハイグウシャ</t>
    </rPh>
    <rPh sb="3" eb="5">
      <t>コウジョ</t>
    </rPh>
    <rPh sb="6" eb="7">
      <t>ガク</t>
    </rPh>
    <phoneticPr fontId="2"/>
  </si>
  <si>
    <t>配偶者特別控除の額</t>
    <rPh sb="0" eb="3">
      <t>ハイグウシャ</t>
    </rPh>
    <rPh sb="3" eb="5">
      <t>トクベツ</t>
    </rPh>
    <rPh sb="5" eb="7">
      <t>コウジョ</t>
    </rPh>
    <rPh sb="8" eb="9">
      <t>ガク</t>
    </rPh>
    <phoneticPr fontId="2"/>
  </si>
  <si>
    <t>✓</t>
    <phoneticPr fontId="2"/>
  </si>
  <si>
    <t>申告者の合計所得金額の見込み額 の入力</t>
    <rPh sb="17" eb="19">
      <t>ニュウリョク</t>
    </rPh>
    <phoneticPr fontId="2"/>
  </si>
  <si>
    <t>本年中の合計所得額見込み　への金額入力</t>
    <rPh sb="0" eb="3">
      <t>ホンネンチュウ</t>
    </rPh>
    <rPh sb="4" eb="9">
      <t>ゴウケイショトクガク</t>
    </rPh>
    <rPh sb="9" eb="11">
      <t>ミコ</t>
    </rPh>
    <rPh sb="15" eb="17">
      <t>キンガク</t>
    </rPh>
    <rPh sb="17" eb="19">
      <t>ニュウリョク</t>
    </rPh>
    <phoneticPr fontId="2"/>
  </si>
  <si>
    <t>の内、大きい方のランク</t>
    <rPh sb="1" eb="2">
      <t>ウチ</t>
    </rPh>
    <rPh sb="3" eb="4">
      <t>オオ</t>
    </rPh>
    <rPh sb="6" eb="7">
      <t>ホウ</t>
    </rPh>
    <phoneticPr fontId="2"/>
  </si>
  <si>
    <t>－</t>
    <phoneticPr fontId="2"/>
  </si>
  <si>
    <t>区分Ⅰ</t>
    <rPh sb="0" eb="2">
      <t>クブン</t>
    </rPh>
    <phoneticPr fontId="2"/>
  </si>
  <si>
    <t>基礎控除額</t>
    <rPh sb="0" eb="5">
      <t>キソコウジョガク</t>
    </rPh>
    <phoneticPr fontId="2"/>
  </si>
  <si>
    <t>配偶者の所得が１３３万円以下であれば該当となります。（給与収入だけならば、収入２０１万６千円未満）</t>
    <rPh sb="0" eb="3">
      <t>ハイグウシャ</t>
    </rPh>
    <rPh sb="4" eb="6">
      <t>ショトク</t>
    </rPh>
    <rPh sb="10" eb="14">
      <t>マンエンイカ</t>
    </rPh>
    <rPh sb="37" eb="39">
      <t>シュウニュウ</t>
    </rPh>
    <phoneticPr fontId="2"/>
  </si>
  <si>
    <t>配偶者控除</t>
    <rPh sb="0" eb="3">
      <t>ハイグウシャ</t>
    </rPh>
    <rPh sb="3" eb="5">
      <t>コウジョ</t>
    </rPh>
    <phoneticPr fontId="2"/>
  </si>
  <si>
    <t>特別障害者について、本年の扶養控除等申告書に</t>
    <rPh sb="18" eb="20">
      <t>シンコク</t>
    </rPh>
    <rPh sb="20" eb="21">
      <t>ショ</t>
    </rPh>
    <phoneticPr fontId="2"/>
  </si>
  <si>
    <t>配偶者年齢</t>
    <rPh sb="0" eb="3">
      <t>ハイグウシャ</t>
    </rPh>
    <rPh sb="3" eb="5">
      <t>ネンレイ</t>
    </rPh>
    <phoneticPr fontId="2"/>
  </si>
  <si>
    <t>該当</t>
  </si>
  <si>
    <t>非該当</t>
    <rPh sb="0" eb="1">
      <t>ヒ</t>
    </rPh>
    <phoneticPr fontId="2"/>
  </si>
  <si>
    <t>記載なし</t>
  </si>
  <si>
    <t>記載あり</t>
    <phoneticPr fontId="2"/>
  </si>
  <si>
    <t>申告者と同居・別居</t>
    <rPh sb="0" eb="2">
      <t>シンコク</t>
    </rPh>
    <rPh sb="2" eb="3">
      <t>シャ</t>
    </rPh>
    <rPh sb="4" eb="6">
      <t>ドウキョ</t>
    </rPh>
    <rPh sb="7" eb="9">
      <t>ベッキョ</t>
    </rPh>
    <phoneticPr fontId="2"/>
  </si>
  <si>
    <t>★該当する区分を選択してください。</t>
    <rPh sb="1" eb="3">
      <t>ガイトウ</t>
    </rPh>
    <rPh sb="5" eb="7">
      <t>クブン</t>
    </rPh>
    <rPh sb="8" eb="10">
      <t>センタク</t>
    </rPh>
    <phoneticPr fontId="2"/>
  </si>
  <si>
    <t>配偶者の所得を少なく申告している場合、そのままにしておくと、税務署から年末調整のやり直しの指示が来ます。
再提出が必要なのに、提出せず締切日を過ぎた場合は確定申告で修正をお願いします。</t>
    <rPh sb="53" eb="56">
      <t>サイテイシュツ</t>
    </rPh>
    <rPh sb="57" eb="59">
      <t>ヒツヨウ</t>
    </rPh>
    <rPh sb="63" eb="65">
      <t>テイシュツ</t>
    </rPh>
    <rPh sb="67" eb="70">
      <t>シメキリビ</t>
    </rPh>
    <rPh sb="71" eb="72">
      <t>ス</t>
    </rPh>
    <rPh sb="74" eb="76">
      <t>バアイ</t>
    </rPh>
    <rPh sb="77" eb="81">
      <t>カクテイシンコク</t>
    </rPh>
    <rPh sb="82" eb="84">
      <t>シュウセイ</t>
    </rPh>
    <rPh sb="86" eb="87">
      <t>ネガ</t>
    </rPh>
    <phoneticPr fontId="2"/>
  </si>
  <si>
    <t>*　住所</t>
    <rPh sb="2" eb="4">
      <t>ジュウショ</t>
    </rPh>
    <phoneticPr fontId="2"/>
  </si>
  <si>
    <t>特別障害者について、本年の「扶養控除等</t>
    <rPh sb="0" eb="2">
      <t>トクベツ</t>
    </rPh>
    <rPh sb="2" eb="4">
      <t>ショウガイ</t>
    </rPh>
    <rPh sb="4" eb="5">
      <t>シャ</t>
    </rPh>
    <rPh sb="10" eb="12">
      <t>ホンネン</t>
    </rPh>
    <phoneticPr fontId="2"/>
  </si>
  <si>
    <t>該当者のマイナンバー</t>
    <phoneticPr fontId="2"/>
  </si>
  <si>
    <t>該当者氏名のフリガナ</t>
    <phoneticPr fontId="2"/>
  </si>
  <si>
    <t>該当者の生年月日</t>
    <rPh sb="4" eb="8">
      <t>セイネンガッピ</t>
    </rPh>
    <phoneticPr fontId="2"/>
  </si>
  <si>
    <t>申告者の生年月日</t>
    <rPh sb="0" eb="3">
      <t>シンコクシャ</t>
    </rPh>
    <rPh sb="4" eb="8">
      <t>セイネンガッピ</t>
    </rPh>
    <phoneticPr fontId="2"/>
  </si>
  <si>
    <t>配偶者　給与所得</t>
    <rPh sb="0" eb="3">
      <t>ハイグウシャ</t>
    </rPh>
    <rPh sb="4" eb="6">
      <t>キュウヨ</t>
    </rPh>
    <rPh sb="6" eb="8">
      <t>ショトク</t>
    </rPh>
    <phoneticPr fontId="2"/>
  </si>
  <si>
    <t>申告者　給与所得</t>
    <rPh sb="0" eb="3">
      <t>シンコクシャ</t>
    </rPh>
    <rPh sb="4" eb="6">
      <t>キュウヨ</t>
    </rPh>
    <rPh sb="6" eb="8">
      <t>ショトク</t>
    </rPh>
    <phoneticPr fontId="2"/>
  </si>
  <si>
    <t>させない場合の表示</t>
    <rPh sb="4" eb="6">
      <t>バアイ</t>
    </rPh>
    <rPh sb="7" eb="9">
      <t>ヒョウジ</t>
    </rPh>
    <phoneticPr fontId="2"/>
  </si>
  <si>
    <t>させる場合の表示</t>
    <rPh sb="3" eb="5">
      <t>バアイ</t>
    </rPh>
    <rPh sb="6" eb="8">
      <t>ヒョウジ</t>
    </rPh>
    <phoneticPr fontId="2"/>
  </si>
  <si>
    <t>該当者と申告者は同居/別居</t>
    <rPh sb="11" eb="12">
      <t>シャドウキョベッキョ</t>
    </rPh>
    <phoneticPr fontId="2"/>
  </si>
  <si>
    <t>する</t>
  </si>
  <si>
    <t>新旧区分の入力忘れは　新　として処理しています。</t>
    <rPh sb="0" eb="2">
      <t>シンキュウ</t>
    </rPh>
    <rPh sb="2" eb="4">
      <t>クブン</t>
    </rPh>
    <rPh sb="5" eb="7">
      <t>ニュウリョク</t>
    </rPh>
    <rPh sb="7" eb="8">
      <t>ワス</t>
    </rPh>
    <rPh sb="11" eb="12">
      <t>シン</t>
    </rPh>
    <rPh sb="16" eb="18">
      <t>ショリ</t>
    </rPh>
    <phoneticPr fontId="2"/>
  </si>
  <si>
    <t>所得金額調整控除申告書　の情報</t>
    <rPh sb="10" eb="11">
      <t>ショ</t>
    </rPh>
    <rPh sb="13" eb="15">
      <t>ジョウホウ</t>
    </rPh>
    <phoneticPr fontId="2"/>
  </si>
  <si>
    <t>配偶者控除等申告書　の情報</t>
    <rPh sb="0" eb="3">
      <t>ハイグウシャ</t>
    </rPh>
    <rPh sb="3" eb="5">
      <t>コウジョ</t>
    </rPh>
    <rPh sb="5" eb="6">
      <t>トウ</t>
    </rPh>
    <rPh sb="6" eb="9">
      <t>シンコクショ</t>
    </rPh>
    <rPh sb="11" eb="13">
      <t>ジョウホウ</t>
    </rPh>
    <phoneticPr fontId="2"/>
  </si>
  <si>
    <t>合計所得金額</t>
    <rPh sb="0" eb="2">
      <t>ゴウケイ</t>
    </rPh>
    <rPh sb="2" eb="4">
      <t>ショトク</t>
    </rPh>
    <rPh sb="4" eb="6">
      <t>キンガク</t>
    </rPh>
    <phoneticPr fontId="2"/>
  </si>
  <si>
    <t>所得金額の見込み（区分）</t>
    <rPh sb="2" eb="4">
      <t>キンガク</t>
    </rPh>
    <phoneticPr fontId="2"/>
  </si>
  <si>
    <t>（注）見込みで入力した額と、１２月末に確定した額が違ってしまった時は、再度作成し、提出してください。</t>
    <rPh sb="1" eb="2">
      <t>チュウ</t>
    </rPh>
    <rPh sb="3" eb="5">
      <t>ミコミ</t>
    </rPh>
    <rPh sb="7" eb="9">
      <t>ニュウリョク</t>
    </rPh>
    <rPh sb="11" eb="12">
      <t>ガク</t>
    </rPh>
    <rPh sb="16" eb="17">
      <t>ガツ</t>
    </rPh>
    <rPh sb="17" eb="18">
      <t>マツ</t>
    </rPh>
    <rPh sb="19" eb="21">
      <t>カクテイ</t>
    </rPh>
    <rPh sb="23" eb="24">
      <t>ガク</t>
    </rPh>
    <rPh sb="25" eb="26">
      <t>チガ</t>
    </rPh>
    <rPh sb="32" eb="33">
      <t>トキ</t>
    </rPh>
    <rPh sb="35" eb="37">
      <t>サイド</t>
    </rPh>
    <rPh sb="37" eb="39">
      <t>サクセイ</t>
    </rPh>
    <rPh sb="41" eb="43">
      <t>テイシュツ</t>
    </rPh>
    <phoneticPr fontId="2"/>
  </si>
  <si>
    <t>48万</t>
    <rPh sb="2" eb="3">
      <t>マン</t>
    </rPh>
    <phoneticPr fontId="2"/>
  </si>
  <si>
    <t>32万</t>
    <rPh sb="2" eb="3">
      <t>マン</t>
    </rPh>
    <phoneticPr fontId="2"/>
  </si>
  <si>
    <t>１６万</t>
    <rPh sb="2" eb="3">
      <t>マン</t>
    </rPh>
    <phoneticPr fontId="2"/>
  </si>
  <si>
    <t>３８万</t>
    <rPh sb="2" eb="3">
      <t>マン</t>
    </rPh>
    <phoneticPr fontId="2"/>
  </si>
  <si>
    <t>３６万</t>
    <rPh sb="2" eb="3">
      <t>マン</t>
    </rPh>
    <phoneticPr fontId="2"/>
  </si>
  <si>
    <t>３１万</t>
    <rPh sb="2" eb="3">
      <t>マン</t>
    </rPh>
    <phoneticPr fontId="2"/>
  </si>
  <si>
    <t>２６万</t>
    <rPh sb="2" eb="3">
      <t>マン</t>
    </rPh>
    <phoneticPr fontId="2"/>
  </si>
  <si>
    <t>２１万</t>
    <rPh sb="2" eb="3">
      <t>マン</t>
    </rPh>
    <phoneticPr fontId="2"/>
  </si>
  <si>
    <t>１１万</t>
    <rPh sb="2" eb="3">
      <t>マン</t>
    </rPh>
    <phoneticPr fontId="2"/>
  </si>
  <si>
    <t>６万</t>
    <rPh sb="1" eb="2">
      <t>マン</t>
    </rPh>
    <phoneticPr fontId="2"/>
  </si>
  <si>
    <t>3万</t>
    <rPh sb="1" eb="2">
      <t>マン</t>
    </rPh>
    <phoneticPr fontId="2"/>
  </si>
  <si>
    <t>３２万</t>
    <rPh sb="2" eb="3">
      <t>マン</t>
    </rPh>
    <phoneticPr fontId="2"/>
  </si>
  <si>
    <t>２４万</t>
    <rPh sb="2" eb="3">
      <t>マン</t>
    </rPh>
    <phoneticPr fontId="2"/>
  </si>
  <si>
    <t>１８万</t>
    <rPh sb="2" eb="3">
      <t>マン</t>
    </rPh>
    <phoneticPr fontId="2"/>
  </si>
  <si>
    <t>１４万</t>
    <rPh sb="2" eb="3">
      <t>マン</t>
    </rPh>
    <phoneticPr fontId="2"/>
  </si>
  <si>
    <t>８万</t>
    <rPh sb="1" eb="2">
      <t>マン</t>
    </rPh>
    <phoneticPr fontId="2"/>
  </si>
  <si>
    <t>４万</t>
    <rPh sb="1" eb="2">
      <t>マン</t>
    </rPh>
    <phoneticPr fontId="2"/>
  </si>
  <si>
    <t>２万</t>
    <rPh sb="1" eb="2">
      <t>マン</t>
    </rPh>
    <phoneticPr fontId="2"/>
  </si>
  <si>
    <t>１３万</t>
    <rPh sb="2" eb="3">
      <t>マン</t>
    </rPh>
    <phoneticPr fontId="2"/>
  </si>
  <si>
    <t>１２万</t>
    <rPh sb="2" eb="3">
      <t>マン</t>
    </rPh>
    <phoneticPr fontId="2"/>
  </si>
  <si>
    <t>９万</t>
    <rPh sb="1" eb="2">
      <t>マン</t>
    </rPh>
    <phoneticPr fontId="2"/>
  </si>
  <si>
    <t>７万</t>
    <rPh sb="1" eb="2">
      <t>マン</t>
    </rPh>
    <phoneticPr fontId="2"/>
  </si>
  <si>
    <t>１万</t>
    <rPh sb="1" eb="2">
      <t>マン</t>
    </rPh>
    <phoneticPr fontId="2"/>
  </si>
  <si>
    <t>年金収入がある場合、配偶者の　年金以外の</t>
    <rPh sb="0" eb="4">
      <t>ネンキンシュウニュウ</t>
    </rPh>
    <rPh sb="7" eb="9">
      <t>バアイ</t>
    </rPh>
    <rPh sb="10" eb="13">
      <t>ハイグウシャ</t>
    </rPh>
    <phoneticPr fontId="2"/>
  </si>
  <si>
    <t>配偶者の所得</t>
    <rPh sb="0" eb="3">
      <t>ハイグウシャ</t>
    </rPh>
    <rPh sb="4" eb="6">
      <t>ショトク</t>
    </rPh>
    <phoneticPr fontId="2"/>
  </si>
  <si>
    <t>　　　　　子や配偶者が支払うべき社会保険料を申告者が支払った</t>
    <rPh sb="5" eb="6">
      <t>コ</t>
    </rPh>
    <rPh sb="22" eb="24">
      <t>シンコク</t>
    </rPh>
    <phoneticPr fontId="1"/>
  </si>
  <si>
    <t>新は、総計　—　旧区分</t>
    <rPh sb="0" eb="1">
      <t>シン</t>
    </rPh>
    <rPh sb="3" eb="5">
      <t>ソウケイ</t>
    </rPh>
    <rPh sb="8" eb="9">
      <t>キュウ</t>
    </rPh>
    <rPh sb="9" eb="11">
      <t>クブン</t>
    </rPh>
    <phoneticPr fontId="2"/>
  </si>
  <si>
    <t>退職手当による所得額</t>
    <rPh sb="0" eb="2">
      <t>タイショク</t>
    </rPh>
    <rPh sb="2" eb="4">
      <t>テアテ</t>
    </rPh>
    <rPh sb="7" eb="9">
      <t>ショトク</t>
    </rPh>
    <rPh sb="9" eb="10">
      <t>ガク</t>
    </rPh>
    <phoneticPr fontId="2"/>
  </si>
  <si>
    <t>給与・年金・退職以外の所得　計</t>
    <rPh sb="0" eb="2">
      <t>キュウヨ</t>
    </rPh>
    <rPh sb="3" eb="5">
      <t>ネンキン</t>
    </rPh>
    <rPh sb="6" eb="8">
      <t>タイショク</t>
    </rPh>
    <rPh sb="8" eb="10">
      <t>イガイ</t>
    </rPh>
    <rPh sb="11" eb="13">
      <t>ショトク</t>
    </rPh>
    <rPh sb="14" eb="15">
      <t>ケイ</t>
    </rPh>
    <phoneticPr fontId="2"/>
  </si>
  <si>
    <t>1000万円以下</t>
  </si>
  <si>
    <t>契約者氏名</t>
    <rPh sb="3" eb="5">
      <t>シメイ</t>
    </rPh>
    <phoneticPr fontId="2"/>
  </si>
  <si>
    <t>生年月日</t>
    <rPh sb="0" eb="4">
      <t>セイネンガッピ</t>
    </rPh>
    <phoneticPr fontId="2"/>
  </si>
  <si>
    <t>配偶者用</t>
    <rPh sb="0" eb="3">
      <t>ハイグウシャ</t>
    </rPh>
    <rPh sb="3" eb="4">
      <t>ヨウ</t>
    </rPh>
    <phoneticPr fontId="2"/>
  </si>
  <si>
    <t>この項目が「該当」であれば、以下の項目を確認し、入力してください。この項目が「非該当」であれば以下の項目は確認不要です。</t>
    <rPh sb="24" eb="26">
      <t>ニュウリョク</t>
    </rPh>
    <phoneticPr fontId="2"/>
  </si>
  <si>
    <t>この項目が「該当」であれば、以下の項目を確認し、入力してください。この項目が「非該当」であれば以下の項目は確認不要です。</t>
    <phoneticPr fontId="2"/>
  </si>
  <si>
    <t>歳以上</t>
    <rPh sb="0" eb="1">
      <t>サイ</t>
    </rPh>
    <rPh sb="1" eb="3">
      <t>イジョウ</t>
    </rPh>
    <phoneticPr fontId="2"/>
  </si>
  <si>
    <t>入力された収入・所得から算出した所得計</t>
    <rPh sb="0" eb="2">
      <t>ニュウリョク</t>
    </rPh>
    <rPh sb="5" eb="7">
      <t>シュウニュウ</t>
    </rPh>
    <rPh sb="8" eb="10">
      <t>ショトク</t>
    </rPh>
    <rPh sb="12" eb="14">
      <t>サンシュツ</t>
    </rPh>
    <rPh sb="16" eb="18">
      <t>ショトク</t>
    </rPh>
    <rPh sb="18" eb="19">
      <t>ケイ</t>
    </rPh>
    <phoneticPr fontId="2"/>
  </si>
  <si>
    <t>１９行目</t>
    <rPh sb="2" eb="4">
      <t>ギョウメ</t>
    </rPh>
    <phoneticPr fontId="2"/>
  </si>
  <si>
    <t>３５行目</t>
    <rPh sb="2" eb="4">
      <t>ギョウメ</t>
    </rPh>
    <phoneticPr fontId="2"/>
  </si>
  <si>
    <t>５１行目</t>
    <rPh sb="2" eb="4">
      <t>ギョウメ</t>
    </rPh>
    <phoneticPr fontId="2"/>
  </si>
  <si>
    <t>　　　　　無職や学生の間に本年中の健康保険や国民年金保険料を支払った</t>
    <rPh sb="5" eb="7">
      <t>ムショク</t>
    </rPh>
    <rPh sb="8" eb="10">
      <t>ガクセイ</t>
    </rPh>
    <rPh sb="11" eb="12">
      <t>カン</t>
    </rPh>
    <rPh sb="13" eb="16">
      <t>ホンネンチュウ</t>
    </rPh>
    <rPh sb="17" eb="21">
      <t>ケンコウホケン</t>
    </rPh>
    <rPh sb="22" eb="26">
      <t>コクミンネンキン</t>
    </rPh>
    <rPh sb="26" eb="29">
      <t>ホケンリョウ</t>
    </rPh>
    <rPh sb="30" eb="32">
      <t>シハラ</t>
    </rPh>
    <phoneticPr fontId="1"/>
  </si>
  <si>
    <t>A　小規模企業共済掛金控除入力表</t>
    <rPh sb="2" eb="5">
      <t>ショウキボ</t>
    </rPh>
    <rPh sb="5" eb="7">
      <t>キギョウ</t>
    </rPh>
    <rPh sb="7" eb="9">
      <t>キョウサイ</t>
    </rPh>
    <rPh sb="9" eb="13">
      <t>カケキンコウジョ</t>
    </rPh>
    <rPh sb="13" eb="15">
      <t>ニュウリョク</t>
    </rPh>
    <rPh sb="15" eb="16">
      <t>ヒョウ</t>
    </rPh>
    <phoneticPr fontId="2"/>
  </si>
  <si>
    <t>本日の日付</t>
    <rPh sb="0" eb="2">
      <t>ホンジツ</t>
    </rPh>
    <rPh sb="3" eb="5">
      <t>ヒヅケ</t>
    </rPh>
    <phoneticPr fontId="2"/>
  </si>
  <si>
    <t>年金収入がある場合は、次も事項を入力してください。</t>
    <rPh sb="0" eb="4">
      <t>ネンキンシュウニュウ</t>
    </rPh>
    <rPh sb="7" eb="9">
      <t>バアイ</t>
    </rPh>
    <rPh sb="11" eb="12">
      <t>ツギ</t>
    </rPh>
    <rPh sb="13" eb="15">
      <t>ジコウ</t>
    </rPh>
    <rPh sb="16" eb="18">
      <t>ニュウリョク</t>
    </rPh>
    <phoneticPr fontId="2"/>
  </si>
  <si>
    <t>証明書</t>
    <rPh sb="0" eb="3">
      <t>ショウメイショ</t>
    </rPh>
    <phoneticPr fontId="2"/>
  </si>
  <si>
    <t>番号</t>
    <phoneticPr fontId="2"/>
  </si>
  <si>
    <t>　　（例）子どもの国民年金保険料を親が支払った</t>
    <rPh sb="3" eb="4">
      <t>レイ</t>
    </rPh>
    <rPh sb="13" eb="16">
      <t>ホケンリョウ</t>
    </rPh>
    <phoneticPr fontId="2"/>
  </si>
  <si>
    <t>２枚以上にわたる場合は、↑で
2枚目・３枚目・・・と表示を変えて印刷してください。　　５枚目までに入らない分は手書きで作成となります。</t>
    <rPh sb="1" eb="4">
      <t>マイイジョウ</t>
    </rPh>
    <rPh sb="8" eb="10">
      <t>バアイ</t>
    </rPh>
    <rPh sb="16" eb="18">
      <t>マイメ</t>
    </rPh>
    <rPh sb="20" eb="22">
      <t>マイメ</t>
    </rPh>
    <rPh sb="26" eb="28">
      <t>ヒョウジ</t>
    </rPh>
    <rPh sb="29" eb="30">
      <t>カ</t>
    </rPh>
    <rPh sb="32" eb="34">
      <t>インサツ</t>
    </rPh>
    <phoneticPr fontId="2"/>
  </si>
  <si>
    <t>※※※※※※※※※※※※</t>
    <phoneticPr fontId="2"/>
  </si>
  <si>
    <t>印刷の際は、用紙：横　　両面印刷（短辺を綴じます）を設定してください。</t>
    <rPh sb="0" eb="2">
      <t>インサツ</t>
    </rPh>
    <rPh sb="3" eb="4">
      <t>サイ</t>
    </rPh>
    <rPh sb="6" eb="8">
      <t>ヨウシ</t>
    </rPh>
    <rPh sb="9" eb="10">
      <t>ヨコ</t>
    </rPh>
    <rPh sb="12" eb="14">
      <t>リョウメン</t>
    </rPh>
    <rPh sb="14" eb="16">
      <t>インサツ</t>
    </rPh>
    <rPh sb="17" eb="19">
      <t>タンペン</t>
    </rPh>
    <rPh sb="20" eb="21">
      <t>ト</t>
    </rPh>
    <rPh sb="26" eb="28">
      <t>セッテイ</t>
    </rPh>
    <phoneticPr fontId="2"/>
  </si>
  <si>
    <t>無</t>
    <rPh sb="0" eb="1">
      <t>ナ</t>
    </rPh>
    <phoneticPr fontId="2"/>
  </si>
  <si>
    <t>B　地震保険料控除入力表　（旧長期損害保険もこちらへ入力）</t>
    <rPh sb="2" eb="4">
      <t>ジシン</t>
    </rPh>
    <rPh sb="4" eb="7">
      <t>ホケンリョウ</t>
    </rPh>
    <rPh sb="7" eb="9">
      <t>コウジョ</t>
    </rPh>
    <rPh sb="9" eb="12">
      <t>ニュウリョクヒョウ</t>
    </rPh>
    <rPh sb="14" eb="15">
      <t>キュウ</t>
    </rPh>
    <rPh sb="15" eb="21">
      <t>チョウキソンガイホケン</t>
    </rPh>
    <rPh sb="26" eb="28">
      <t>ニュウリョク</t>
    </rPh>
    <phoneticPr fontId="2"/>
  </si>
  <si>
    <t>C　社会保険料控除入力表</t>
    <rPh sb="2" eb="6">
      <t>シャカイホケン</t>
    </rPh>
    <rPh sb="6" eb="7">
      <t>リョウ</t>
    </rPh>
    <rPh sb="7" eb="9">
      <t>コウジョ</t>
    </rPh>
    <rPh sb="9" eb="12">
      <t>ニュウリョクヒョウ</t>
    </rPh>
    <phoneticPr fontId="2"/>
  </si>
  <si>
    <t>　　（給与天引きで納めたもの　は申告不要です。前の勤務先で天引きされたものは、</t>
    <rPh sb="3" eb="5">
      <t>キュウヨ</t>
    </rPh>
    <rPh sb="5" eb="7">
      <t>テンビ</t>
    </rPh>
    <rPh sb="9" eb="10">
      <t>オサ</t>
    </rPh>
    <rPh sb="16" eb="20">
      <t>シンコクフヨウ</t>
    </rPh>
    <phoneticPr fontId="1"/>
  </si>
  <si>
    <t>（例）〇〇手帳・〇級・平成×年×月×日交付</t>
    <rPh sb="11" eb="13">
      <t>ヘイセイ</t>
    </rPh>
    <rPh sb="19" eb="21">
      <t>コウフ</t>
    </rPh>
    <phoneticPr fontId="2"/>
  </si>
  <si>
    <t>●●一般の生命保険料は限度額に達しました。　これ以上入力しても税額減少にはなりません。</t>
    <rPh sb="2" eb="4">
      <t>イッパン</t>
    </rPh>
    <rPh sb="5" eb="10">
      <t>セイメイホケンリョウ</t>
    </rPh>
    <rPh sb="11" eb="13">
      <t>ゲンド</t>
    </rPh>
    <rPh sb="13" eb="14">
      <t>ガク</t>
    </rPh>
    <rPh sb="15" eb="16">
      <t>タッ</t>
    </rPh>
    <rPh sb="24" eb="26">
      <t>イジョウ</t>
    </rPh>
    <rPh sb="26" eb="28">
      <t>ニュウリョク</t>
    </rPh>
    <rPh sb="31" eb="33">
      <t>ゼイガク</t>
    </rPh>
    <rPh sb="33" eb="35">
      <t>ゲンショウ</t>
    </rPh>
    <phoneticPr fontId="2"/>
  </si>
  <si>
    <t>●●介護医療保険の保険料の限度額に達しました。　これ以上入力しても税額減少にはなりません。</t>
    <rPh sb="2" eb="4">
      <t>カイゴ</t>
    </rPh>
    <rPh sb="4" eb="6">
      <t>イリョウ</t>
    </rPh>
    <rPh sb="6" eb="8">
      <t>ホケン</t>
    </rPh>
    <rPh sb="9" eb="12">
      <t>ホケンリョウ</t>
    </rPh>
    <rPh sb="13" eb="15">
      <t>ゲンド</t>
    </rPh>
    <rPh sb="15" eb="16">
      <t>ガク</t>
    </rPh>
    <rPh sb="17" eb="18">
      <t>タッ</t>
    </rPh>
    <rPh sb="26" eb="28">
      <t>イジョウ</t>
    </rPh>
    <rPh sb="28" eb="30">
      <t>ニュウリョク</t>
    </rPh>
    <rPh sb="33" eb="35">
      <t>ゼイガク</t>
    </rPh>
    <rPh sb="35" eb="37">
      <t>ゲンショウ</t>
    </rPh>
    <phoneticPr fontId="2"/>
  </si>
  <si>
    <t>●●個人年金の保険料は限度額に達しました。　これ以上入力しても税額減少になりません。</t>
    <rPh sb="2" eb="6">
      <t>コジンネンキン</t>
    </rPh>
    <rPh sb="13" eb="14">
      <t>ガク</t>
    </rPh>
    <rPh sb="15" eb="16">
      <t>タッ</t>
    </rPh>
    <rPh sb="31" eb="33">
      <t>ゼイガク</t>
    </rPh>
    <rPh sb="33" eb="35">
      <t>ゲンショウ</t>
    </rPh>
    <phoneticPr fontId="2"/>
  </si>
  <si>
    <t>…申告者入力の年間所得見込から判断して表示させる</t>
    <rPh sb="1" eb="4">
      <t>シンコクシャ</t>
    </rPh>
    <rPh sb="4" eb="6">
      <t>ニュウリョク</t>
    </rPh>
    <rPh sb="7" eb="9">
      <t>ネンカン</t>
    </rPh>
    <rPh sb="9" eb="11">
      <t>ショトク</t>
    </rPh>
    <rPh sb="11" eb="13">
      <t>ミコ</t>
    </rPh>
    <rPh sb="15" eb="17">
      <t>ハンダン</t>
    </rPh>
    <rPh sb="19" eb="21">
      <t>ヒョウジ</t>
    </rPh>
    <phoneticPr fontId="2"/>
  </si>
  <si>
    <t>…所得が確定してから手書きで記入する</t>
    <phoneticPr fontId="2"/>
  </si>
  <si>
    <t>…見積で入力する</t>
    <rPh sb="1" eb="3">
      <t>ミツモリ</t>
    </rPh>
    <rPh sb="4" eb="6">
      <t>ニュウリョク</t>
    </rPh>
    <phoneticPr fontId="2"/>
  </si>
  <si>
    <r>
      <t>基礎控除申告書の情報</t>
    </r>
    <r>
      <rPr>
        <sz val="11"/>
        <color theme="1"/>
        <rFont val="HGS創英角ｺﾞｼｯｸUB"/>
        <family val="3"/>
        <charset val="128"/>
      </rPr>
      <t>（申告者の情報）</t>
    </r>
    <rPh sb="0" eb="4">
      <t>キソコウジョ</t>
    </rPh>
    <rPh sb="4" eb="7">
      <t>シンコクショ</t>
    </rPh>
    <rPh sb="8" eb="10">
      <t>ジョウホウ</t>
    </rPh>
    <rPh sb="11" eb="14">
      <t>シンコクシャ</t>
    </rPh>
    <rPh sb="15" eb="17">
      <t>ジョウホウ</t>
    </rPh>
    <phoneticPr fontId="2"/>
  </si>
  <si>
    <t>給与以外の収入・所得があれば入力してください。</t>
    <rPh sb="0" eb="2">
      <t>キュウヨ</t>
    </rPh>
    <rPh sb="2" eb="4">
      <t>イガイ</t>
    </rPh>
    <rPh sb="5" eb="7">
      <t>シュウニュウ</t>
    </rPh>
    <rPh sb="8" eb="10">
      <t>ショトク</t>
    </rPh>
    <phoneticPr fontId="2"/>
  </si>
  <si>
    <t>（収入額ではなく、所得額を入力してくだい。)</t>
    <phoneticPr fontId="2"/>
  </si>
  <si>
    <r>
      <rPr>
        <sz val="9"/>
        <color theme="1"/>
        <rFont val="HG創英角ｺﾞｼｯｸUB"/>
        <family val="3"/>
        <charset val="128"/>
      </rPr>
      <t>退職手当の所得額</t>
    </r>
    <r>
      <rPr>
        <sz val="11"/>
        <color theme="1"/>
        <rFont val="HG創英角ｺﾞｼｯｸUB"/>
        <family val="3"/>
        <charset val="128"/>
      </rPr>
      <t xml:space="preserve"> </t>
    </r>
    <rPh sb="0" eb="2">
      <t>タイショク</t>
    </rPh>
    <rPh sb="2" eb="4">
      <t>テアテ</t>
    </rPh>
    <rPh sb="5" eb="7">
      <t>ショトク</t>
    </rPh>
    <rPh sb="7" eb="8">
      <t>ガク</t>
    </rPh>
    <phoneticPr fontId="2"/>
  </si>
  <si>
    <t>（支払額ではなく、所得額を入力してください。）</t>
    <phoneticPr fontId="2"/>
  </si>
  <si>
    <t>年間の所得の見積額を入力してください。</t>
    <rPh sb="0" eb="2">
      <t>ネンカン</t>
    </rPh>
    <rPh sb="3" eb="5">
      <t>ショトク</t>
    </rPh>
    <rPh sb="6" eb="9">
      <t>ミツモリガク</t>
    </rPh>
    <rPh sb="10" eb="12">
      <t>ニュウリョク</t>
    </rPh>
    <phoneticPr fontId="2"/>
  </si>
  <si>
    <t>（所得ではなく、収入額を入力してください。）</t>
    <rPh sb="1" eb="3">
      <t>ショトク</t>
    </rPh>
    <rPh sb="8" eb="11">
      <t>シュウニュウガク</t>
    </rPh>
    <rPh sb="12" eb="14">
      <t>ニュウリョク</t>
    </rPh>
    <phoneticPr fontId="2"/>
  </si>
  <si>
    <t>（　税金・介護保険等が差し引かれる前の金額を入力）</t>
    <rPh sb="2" eb="4">
      <t>ゼイキン</t>
    </rPh>
    <rPh sb="5" eb="9">
      <t>カイゴホケン</t>
    </rPh>
    <rPh sb="9" eb="10">
      <t>トウ</t>
    </rPh>
    <rPh sb="11" eb="12">
      <t>サ</t>
    </rPh>
    <rPh sb="13" eb="14">
      <t>ヒ</t>
    </rPh>
    <rPh sb="17" eb="18">
      <t>マエ</t>
    </rPh>
    <rPh sb="19" eb="21">
      <t>キンガク</t>
    </rPh>
    <rPh sb="22" eb="24">
      <t>ニュウリョク</t>
    </rPh>
    <phoneticPr fontId="2"/>
  </si>
  <si>
    <t>有</t>
    <rPh sb="0" eb="1">
      <t>アリ</t>
    </rPh>
    <phoneticPr fontId="2"/>
  </si>
  <si>
    <t>収入・所得はない＝無</t>
    <rPh sb="0" eb="2">
      <t>シュウニュウ</t>
    </rPh>
    <rPh sb="3" eb="5">
      <t>ショトク</t>
    </rPh>
    <rPh sb="9" eb="10">
      <t>ナ</t>
    </rPh>
    <phoneticPr fontId="2"/>
  </si>
  <si>
    <t>　　　を入力してください。</t>
    <rPh sb="4" eb="6">
      <t>ニュウリョク</t>
    </rPh>
    <phoneticPr fontId="2"/>
  </si>
  <si>
    <r>
      <rPr>
        <sz val="11"/>
        <color theme="1"/>
        <rFont val="HG創英角ｺﾞｼｯｸUB"/>
        <family val="3"/>
        <charset val="128"/>
      </rPr>
      <t>その他の所得　　</t>
    </r>
    <r>
      <rPr>
        <sz val="11"/>
        <color theme="1"/>
        <rFont val="ＭＳ Ｐ明朝"/>
        <family val="2"/>
        <charset val="128"/>
      </rPr>
      <t>合計</t>
    </r>
    <r>
      <rPr>
        <sz val="11"/>
        <color theme="1"/>
        <rFont val="ＭＳ Ｐ明朝"/>
        <family val="3"/>
        <charset val="128"/>
      </rPr>
      <t>額</t>
    </r>
    <rPh sb="2" eb="3">
      <t>タ</t>
    </rPh>
    <rPh sb="4" eb="6">
      <t>ショトク</t>
    </rPh>
    <rPh sb="8" eb="10">
      <t>ゴウケイ</t>
    </rPh>
    <rPh sb="10" eb="11">
      <t>ガク</t>
    </rPh>
    <phoneticPr fontId="2"/>
  </si>
  <si>
    <t>保険料控除申告書で、</t>
    <rPh sb="0" eb="3">
      <t>ホケンリョウ</t>
    </rPh>
    <rPh sb="3" eb="5">
      <t>コウジョ</t>
    </rPh>
    <rPh sb="5" eb="8">
      <t>シンコクショ</t>
    </rPh>
    <phoneticPr fontId="2"/>
  </si>
  <si>
    <t>保険料控除に１件も該当がない場合の取り扱い</t>
    <rPh sb="0" eb="3">
      <t>ホケンリョウ</t>
    </rPh>
    <rPh sb="3" eb="5">
      <t>コウジョ</t>
    </rPh>
    <rPh sb="7" eb="8">
      <t>ケン</t>
    </rPh>
    <rPh sb="9" eb="11">
      <t>ガイトウ</t>
    </rPh>
    <rPh sb="14" eb="16">
      <t>バアイ</t>
    </rPh>
    <rPh sb="17" eb="18">
      <t>ト</t>
    </rPh>
    <rPh sb="19" eb="20">
      <t>アツカ</t>
    </rPh>
    <phoneticPr fontId="2"/>
  </si>
  <si>
    <t>・２３歳未満の扶養親族には、１６歳未満の年少扶養親族も含まれます。
・所得金額調整控除における２３歳未満の扶養親族・特別障害者は、他の所得者が扶養控除の対象とした人であっても、申告者が対象者として申告してかまいません。（但し、合計所得金額が４８万円以下の配偶者・扶養親族）</t>
    <rPh sb="35" eb="37">
      <t>ショトク</t>
    </rPh>
    <rPh sb="37" eb="39">
      <t>キンガク</t>
    </rPh>
    <rPh sb="39" eb="41">
      <t>チョウセイ</t>
    </rPh>
    <rPh sb="41" eb="43">
      <t>コウジョ</t>
    </rPh>
    <rPh sb="71" eb="73">
      <t>フヨウ</t>
    </rPh>
    <rPh sb="81" eb="82">
      <t>ヒト</t>
    </rPh>
    <rPh sb="88" eb="91">
      <t>シンコクシャ</t>
    </rPh>
    <rPh sb="98" eb="100">
      <t>シンコク</t>
    </rPh>
    <rPh sb="110" eb="111">
      <t>タダ</t>
    </rPh>
    <rPh sb="113" eb="119">
      <t>ゴウケイショトクキンガク</t>
    </rPh>
    <rPh sb="122" eb="124">
      <t>マンエン</t>
    </rPh>
    <rPh sb="124" eb="126">
      <t>イカ</t>
    </rPh>
    <rPh sb="127" eb="130">
      <t>ハイグウシャ</t>
    </rPh>
    <rPh sb="131" eb="133">
      <t>フヨウ</t>
    </rPh>
    <rPh sb="133" eb="135">
      <t>シンゾク</t>
    </rPh>
    <phoneticPr fontId="2"/>
  </si>
  <si>
    <t>・２つ以上該当項目がある場合、そのうち１つだけ申告すれば適用され、2つ以上申告しても結果は変わりません。</t>
    <phoneticPr fontId="2"/>
  </si>
  <si>
    <t>２３歳未満の扶養親族又は特別障害者である扶養親族・同一生計配偶者の情報</t>
    <phoneticPr fontId="2"/>
  </si>
  <si>
    <t>該当項目を入力後、でき上がった申告書は　↘　右下にあります。</t>
    <rPh sb="0" eb="2">
      <t>ガイトウ</t>
    </rPh>
    <rPh sb="2" eb="4">
      <t>コウモク</t>
    </rPh>
    <rPh sb="5" eb="7">
      <t>ニュウリョク</t>
    </rPh>
    <rPh sb="7" eb="8">
      <t>ゴ</t>
    </rPh>
    <phoneticPr fontId="2"/>
  </si>
  <si>
    <t>←　申告者の合計所得金額の見込み額の内訳</t>
    <rPh sb="18" eb="20">
      <t>ウチワケ</t>
    </rPh>
    <phoneticPr fontId="2"/>
  </si>
  <si>
    <t>現在の勤務先からの給与支払い金額</t>
    <rPh sb="0" eb="2">
      <t>ゲンザイ</t>
    </rPh>
    <rPh sb="3" eb="6">
      <t>キンムサキ</t>
    </rPh>
    <rPh sb="9" eb="11">
      <t>キュウヨ</t>
    </rPh>
    <rPh sb="11" eb="13">
      <t>シハラ</t>
    </rPh>
    <rPh sb="14" eb="16">
      <t>キンガク</t>
    </rPh>
    <phoneticPr fontId="2"/>
  </si>
  <si>
    <t>他の給与支払者からの給与支払額　（収入額）</t>
    <rPh sb="0" eb="1">
      <t>タ</t>
    </rPh>
    <rPh sb="2" eb="4">
      <t>キュウヨ</t>
    </rPh>
    <rPh sb="4" eb="7">
      <t>シハライシャ</t>
    </rPh>
    <rPh sb="10" eb="12">
      <t>キュウヨ</t>
    </rPh>
    <rPh sb="12" eb="15">
      <t>シハライガク</t>
    </rPh>
    <rPh sb="17" eb="20">
      <t>シュウニュウガク</t>
    </rPh>
    <phoneticPr fontId="2"/>
  </si>
  <si>
    <t>該当者の続柄</t>
    <rPh sb="0" eb="3">
      <t>ガイトウシャ</t>
    </rPh>
    <rPh sb="4" eb="6">
      <t>ツヅキガラ</t>
    </rPh>
    <phoneticPr fontId="2"/>
  </si>
  <si>
    <t>該当者の所得見積額（円）</t>
    <rPh sb="0" eb="3">
      <t>ガイトウシャ</t>
    </rPh>
    <rPh sb="4" eb="6">
      <t>ショトク</t>
    </rPh>
    <rPh sb="6" eb="8">
      <t>ミツモリ</t>
    </rPh>
    <rPh sb="8" eb="9">
      <t>ガク</t>
    </rPh>
    <rPh sb="10" eb="11">
      <t>エン</t>
    </rPh>
    <phoneticPr fontId="2"/>
  </si>
  <si>
    <t>させる場合の説明の表示</t>
    <rPh sb="3" eb="5">
      <t>バアイ</t>
    </rPh>
    <rPh sb="6" eb="8">
      <t>セツメイ</t>
    </rPh>
    <rPh sb="9" eb="11">
      <t>ヒョウジ</t>
    </rPh>
    <phoneticPr fontId="2"/>
  </si>
  <si>
    <t>させない場合の説明の表示</t>
    <rPh sb="4" eb="6">
      <t>バアイ</t>
    </rPh>
    <rPh sb="7" eb="9">
      <t>セツメイ</t>
    </rPh>
    <rPh sb="10" eb="12">
      <t>ヒョウジ</t>
    </rPh>
    <phoneticPr fontId="2"/>
  </si>
  <si>
    <t>させる</t>
  </si>
  <si>
    <t>印刷範囲を指定してありますので、このシートで印刷をかけると申告書が印刷されます。</t>
    <phoneticPr fontId="2"/>
  </si>
  <si>
    <t>両面印刷（短辺を綴じます）　用紙：横  と設定してください。</t>
    <phoneticPr fontId="2"/>
  </si>
  <si>
    <t>１月になり、源泉徴収票が交付されたら、こちらに現在の勤務先での給料支払額を入力して申告書を完成させて再度提出してください。１１月の段階では入力不要です。</t>
    <rPh sb="1" eb="2">
      <t>ガツ</t>
    </rPh>
    <rPh sb="23" eb="25">
      <t>ゲンザイ</t>
    </rPh>
    <rPh sb="26" eb="29">
      <t>キンムサキ</t>
    </rPh>
    <rPh sb="31" eb="33">
      <t>キュウリョウ</t>
    </rPh>
    <rPh sb="33" eb="35">
      <t>シハライ</t>
    </rPh>
    <rPh sb="35" eb="36">
      <t>ガク</t>
    </rPh>
    <rPh sb="37" eb="39">
      <t>ニュウリョク</t>
    </rPh>
    <rPh sb="41" eb="44">
      <t>シンコクショ</t>
    </rPh>
    <rPh sb="45" eb="47">
      <t>カンセイ</t>
    </rPh>
    <rPh sb="50" eb="52">
      <t>サイド</t>
    </rPh>
    <rPh sb="52" eb="54">
      <t>テイシュツ</t>
    </rPh>
    <rPh sb="63" eb="64">
      <t>ガツ</t>
    </rPh>
    <rPh sb="65" eb="67">
      <t>ダンカイ</t>
    </rPh>
    <rPh sb="69" eb="71">
      <t>ニュウリョク</t>
    </rPh>
    <rPh sb="71" eb="73">
      <t>フヨウ</t>
    </rPh>
    <phoneticPr fontId="2"/>
  </si>
  <si>
    <t>障害の状態又は交付されている手帳種類・交付日</t>
    <rPh sb="0" eb="2">
      <t>ショウガイ</t>
    </rPh>
    <rPh sb="3" eb="5">
      <t>ジョウタイ</t>
    </rPh>
    <rPh sb="5" eb="6">
      <t>マタ</t>
    </rPh>
    <rPh sb="7" eb="9">
      <t>コウフ</t>
    </rPh>
    <rPh sb="14" eb="16">
      <t>テチョウ</t>
    </rPh>
    <rPh sb="16" eb="18">
      <t>シュルイ</t>
    </rPh>
    <phoneticPr fontId="2"/>
  </si>
  <si>
    <t>レ</t>
    <phoneticPr fontId="2"/>
  </si>
  <si>
    <t>記載ありならレ</t>
    <rPh sb="0" eb="2">
      <t>キサイ</t>
    </rPh>
    <phoneticPr fontId="2"/>
  </si>
  <si>
    <t>(1095万円以下）</t>
    <rPh sb="5" eb="6">
      <t>マン</t>
    </rPh>
    <phoneticPr fontId="2"/>
  </si>
  <si>
    <t>１枚目だけを印刷して提出してください。氏名等は②基礎控除のシートに入力した情報が表示されます。</t>
    <rPh sb="19" eb="22">
      <t>シメイトウ</t>
    </rPh>
    <rPh sb="24" eb="28">
      <t>キソコウジョ</t>
    </rPh>
    <rPh sb="33" eb="35">
      <t>ニュウリョク</t>
    </rPh>
    <rPh sb="37" eb="39">
      <t>ジョウホウ</t>
    </rPh>
    <rPh sb="40" eb="42">
      <t>ヒョウジ</t>
    </rPh>
    <phoneticPr fontId="2"/>
  </si>
  <si>
    <t>確定申告をする</t>
    <rPh sb="0" eb="4">
      <t>カクテイシンコク</t>
    </rPh>
    <phoneticPr fontId="2"/>
  </si>
  <si>
    <t>所得金額調整控除</t>
    <rPh sb="0" eb="4">
      <t>ショトクキンガク</t>
    </rPh>
    <rPh sb="4" eb="8">
      <t>チョウセイコウジョ</t>
    </rPh>
    <phoneticPr fontId="2"/>
  </si>
  <si>
    <t>年金＆給与</t>
    <rPh sb="0" eb="2">
      <t>ネンキン</t>
    </rPh>
    <rPh sb="3" eb="5">
      <t>キュウヨ</t>
    </rPh>
    <phoneticPr fontId="2"/>
  </si>
  <si>
    <t>{給与等の収入金額（1,000万円超の場合は1,000万円） － 850万円}×10％＝控除額※
※1円未満の端数があるときは、その端数を切り上げます。</t>
    <phoneticPr fontId="2"/>
  </si>
  <si>
    <t>{給与所得控除後の給与等の金額（10万円超の場合は10万円） ＋ 公的年金等に係る雑所得の金額（10万円超の場合は10万円）}－10万円＝控除額</t>
    <phoneticPr fontId="2"/>
  </si>
  <si>
    <t>給与収入８５０万円以上</t>
    <rPh sb="0" eb="2">
      <t>キュウヨ</t>
    </rPh>
    <rPh sb="2" eb="4">
      <t>シュウニュウ</t>
    </rPh>
    <rPh sb="7" eb="9">
      <t>マンエン</t>
    </rPh>
    <rPh sb="9" eb="11">
      <t>イジョウ</t>
    </rPh>
    <phoneticPr fontId="2"/>
  </si>
  <si>
    <t>４項目どれかに該当有＝１</t>
    <rPh sb="1" eb="3">
      <t>コウモク</t>
    </rPh>
    <rPh sb="7" eb="10">
      <t>ガイトウアリ</t>
    </rPh>
    <phoneticPr fontId="2"/>
  </si>
  <si>
    <t>所得金額調整控除該当＝１</t>
    <rPh sb="0" eb="4">
      <t>ショトクキンガク</t>
    </rPh>
    <rPh sb="4" eb="8">
      <t>チョウセイコウジョ</t>
    </rPh>
    <rPh sb="8" eb="10">
      <t>ガイトウ</t>
    </rPh>
    <phoneticPr fontId="2"/>
  </si>
  <si>
    <t>該当＝１</t>
    <rPh sb="0" eb="2">
      <t>ガイトウ</t>
    </rPh>
    <phoneticPr fontId="2"/>
  </si>
  <si>
    <t>所得金額調整控除　給与収入８５０万円超</t>
    <rPh sb="9" eb="11">
      <t>キュウヨ</t>
    </rPh>
    <rPh sb="11" eb="13">
      <t>シュウニュウ</t>
    </rPh>
    <rPh sb="16" eb="18">
      <t>マンエン</t>
    </rPh>
    <rPh sb="18" eb="19">
      <t>チョウ</t>
    </rPh>
    <phoneticPr fontId="2"/>
  </si>
  <si>
    <t>年金と給与の所得があり、確定申告をする</t>
    <rPh sb="0" eb="2">
      <t>ネンキン</t>
    </rPh>
    <rPh sb="3" eb="5">
      <t>キュウヨ</t>
    </rPh>
    <rPh sb="6" eb="8">
      <t>ショトク</t>
    </rPh>
    <rPh sb="12" eb="16">
      <t>カクテイシンコク</t>
    </rPh>
    <phoneticPr fontId="2"/>
  </si>
  <si>
    <t>確定申告をしない</t>
    <rPh sb="0" eb="4">
      <t>カクテイシンコク</t>
    </rPh>
    <phoneticPr fontId="2"/>
  </si>
  <si>
    <t xml:space="preserve">給与所得と公的年金による所得がある場合、確定申告を行うことで、給与所得が１０万円減り、課税対象金額が減ります。確定申告を行う予定がありますか？（申告書裏面右下　４　（１）　②　参照）
</t>
    <rPh sb="0" eb="4">
      <t>キュウヨショトク</t>
    </rPh>
    <rPh sb="5" eb="9">
      <t>コウテキネンキン</t>
    </rPh>
    <rPh sb="12" eb="14">
      <t>ショトク</t>
    </rPh>
    <rPh sb="17" eb="19">
      <t>バアイ</t>
    </rPh>
    <rPh sb="43" eb="45">
      <t>カゼイ</t>
    </rPh>
    <rPh sb="45" eb="47">
      <t>タイショウ</t>
    </rPh>
    <rPh sb="47" eb="49">
      <t>キンガク</t>
    </rPh>
    <rPh sb="50" eb="51">
      <t>ヘ</t>
    </rPh>
    <rPh sb="55" eb="57">
      <t>カクテイ</t>
    </rPh>
    <rPh sb="57" eb="59">
      <t>シンコク</t>
    </rPh>
    <rPh sb="60" eb="61">
      <t>オコナ</t>
    </rPh>
    <rPh sb="62" eb="64">
      <t>ヨテイ</t>
    </rPh>
    <rPh sb="72" eb="75">
      <t>シンコクショ</t>
    </rPh>
    <rPh sb="75" eb="77">
      <t>リメン</t>
    </rPh>
    <rPh sb="77" eb="79">
      <t>ミギシタ</t>
    </rPh>
    <rPh sb="88" eb="90">
      <t>サンショウ</t>
    </rPh>
    <phoneticPr fontId="2"/>
  </si>
  <si>
    <t>適用済み額</t>
    <rPh sb="0" eb="2">
      <t>テキヨウ</t>
    </rPh>
    <rPh sb="2" eb="3">
      <t>ズ</t>
    </rPh>
    <rPh sb="4" eb="5">
      <t>ガク</t>
    </rPh>
    <phoneticPr fontId="2"/>
  </si>
  <si>
    <t>基礎控除申告書で、区分Ⅰと基礎控除の額を自動表示</t>
    <rPh sb="0" eb="4">
      <t>キソコウジョ</t>
    </rPh>
    <rPh sb="4" eb="7">
      <t>シンコクショ</t>
    </rPh>
    <phoneticPr fontId="2"/>
  </si>
  <si>
    <t>保険料(円）</t>
    <rPh sb="4" eb="5">
      <t>エン</t>
    </rPh>
    <phoneticPr fontId="2"/>
  </si>
  <si>
    <t>保険料(円）</t>
    <rPh sb="4" eb="5">
      <t>エン</t>
    </rPh>
    <phoneticPr fontId="2"/>
  </si>
  <si>
    <t>支払った
掛金(円)</t>
    <rPh sb="0" eb="2">
      <t>シハラ</t>
    </rPh>
    <rPh sb="5" eb="7">
      <t>カケキン</t>
    </rPh>
    <rPh sb="8" eb="9">
      <t>エン</t>
    </rPh>
    <phoneticPr fontId="2"/>
  </si>
  <si>
    <t>×</t>
    <phoneticPr fontId="2"/>
  </si>
  <si>
    <t>個人年金の情報</t>
    <rPh sb="0" eb="2">
      <t>コジン</t>
    </rPh>
    <rPh sb="2" eb="4">
      <t>ネンキン</t>
    </rPh>
    <rPh sb="5" eb="7">
      <t>ジョウホウ</t>
    </rPh>
    <phoneticPr fontId="2"/>
  </si>
  <si>
    <t>旧制度の証明書が合計で６万円以上あれば旧制度を先に入力します。そうでなければ新旧関係なく金額の大きいものから入力します。</t>
    <rPh sb="0" eb="1">
      <t>キュウ</t>
    </rPh>
    <rPh sb="1" eb="3">
      <t>セイド</t>
    </rPh>
    <rPh sb="4" eb="7">
      <t>ショウメイショ</t>
    </rPh>
    <rPh sb="8" eb="10">
      <t>ゴウケイ</t>
    </rPh>
    <rPh sb="12" eb="14">
      <t>マンエン</t>
    </rPh>
    <rPh sb="14" eb="16">
      <t>イジョウ</t>
    </rPh>
    <rPh sb="19" eb="22">
      <t>キュウセイド</t>
    </rPh>
    <rPh sb="23" eb="24">
      <t>サキ</t>
    </rPh>
    <rPh sb="25" eb="27">
      <t>ニュウリョク</t>
    </rPh>
    <rPh sb="38" eb="42">
      <t>シンキュウカンケイ</t>
    </rPh>
    <rPh sb="44" eb="46">
      <t>キンガク</t>
    </rPh>
    <rPh sb="47" eb="48">
      <t>オオ</t>
    </rPh>
    <rPh sb="54" eb="56">
      <t>ニュウリョク</t>
    </rPh>
    <phoneticPr fontId="2"/>
  </si>
  <si>
    <t>↓終身は９９と入力しても可</t>
    <rPh sb="1" eb="3">
      <t>シュウシン</t>
    </rPh>
    <rPh sb="7" eb="9">
      <t>ニュウリョク</t>
    </rPh>
    <rPh sb="12" eb="13">
      <t>カ</t>
    </rPh>
    <phoneticPr fontId="2"/>
  </si>
  <si>
    <t>●新旧区分　新　は限度額に達しました。新をこれ以上入力しても税額減少にはなりません。旧があれば旧を入力してください。</t>
    <rPh sb="1" eb="5">
      <t>シンキュウクブン</t>
    </rPh>
    <rPh sb="6" eb="7">
      <t>シン</t>
    </rPh>
    <rPh sb="9" eb="12">
      <t>ゲンドガク</t>
    </rPh>
    <rPh sb="13" eb="14">
      <t>タッ</t>
    </rPh>
    <rPh sb="19" eb="20">
      <t>シン</t>
    </rPh>
    <rPh sb="23" eb="25">
      <t>イジョウ</t>
    </rPh>
    <rPh sb="25" eb="27">
      <t>ニュウリョク</t>
    </rPh>
    <rPh sb="30" eb="32">
      <t>ゼイガク</t>
    </rPh>
    <rPh sb="32" eb="34">
      <t>ゲンショウ</t>
    </rPh>
    <phoneticPr fontId="2"/>
  </si>
  <si>
    <t>●新旧区分　新　は限度額に達しました。　新をこれ以上入力しても税額減少にはなりません。旧があれば旧を入力してください。</t>
    <rPh sb="13" eb="14">
      <t>タッ</t>
    </rPh>
    <rPh sb="31" eb="35">
      <t>ゼイガクゲンショウ</t>
    </rPh>
    <phoneticPr fontId="2"/>
  </si>
  <si>
    <t>該当項目を入力後、でき上がった申告書は　③印刷（基礎控除）で印刷してください。</t>
    <rPh sb="0" eb="2">
      <t>ガイトウ</t>
    </rPh>
    <rPh sb="2" eb="4">
      <t>コウモク</t>
    </rPh>
    <rPh sb="5" eb="7">
      <t>ニュウリョク</t>
    </rPh>
    <rPh sb="7" eb="8">
      <t>ゴ</t>
    </rPh>
    <rPh sb="21" eb="23">
      <t>インサツ</t>
    </rPh>
    <rPh sb="24" eb="28">
      <t>キソコウジョ</t>
    </rPh>
    <rPh sb="30" eb="32">
      <t>インサツ</t>
    </rPh>
    <phoneticPr fontId="2"/>
  </si>
  <si>
    <t>介護医療保険には、新旧の区分がありません。金額の大きいものから限度額まで入力してください。</t>
    <rPh sb="0" eb="4">
      <t>カイゴイリョウ</t>
    </rPh>
    <rPh sb="4" eb="6">
      <t>ホケン</t>
    </rPh>
    <rPh sb="9" eb="11">
      <t>シンキュウ</t>
    </rPh>
    <rPh sb="12" eb="14">
      <t>クブン</t>
    </rPh>
    <rPh sb="21" eb="23">
      <t>キンガク</t>
    </rPh>
    <rPh sb="24" eb="25">
      <t>オオ</t>
    </rPh>
    <rPh sb="31" eb="34">
      <t>ゲンドガク</t>
    </rPh>
    <rPh sb="36" eb="38">
      <t>ニュウリョク</t>
    </rPh>
    <phoneticPr fontId="2"/>
  </si>
  <si>
    <t>申告書の印刷は「⑥印刷（保険控除）」のシートで行います。</t>
    <phoneticPr fontId="2"/>
  </si>
  <si>
    <t>介護医療</t>
    <rPh sb="0" eb="2">
      <t>カイゴ</t>
    </rPh>
    <rPh sb="2" eb="4">
      <t>イリョウ</t>
    </rPh>
    <phoneticPr fontId="2"/>
  </si>
  <si>
    <t>上と同じ</t>
    <rPh sb="2" eb="3">
      <t>オナ</t>
    </rPh>
    <phoneticPr fontId="2"/>
  </si>
  <si>
    <t>２つ上と同じ</t>
    <rPh sb="2" eb="3">
      <t>ウエ</t>
    </rPh>
    <rPh sb="4" eb="5">
      <t>オナ</t>
    </rPh>
    <phoneticPr fontId="2"/>
  </si>
  <si>
    <t>１つ・２つ</t>
    <phoneticPr fontId="2"/>
  </si>
  <si>
    <t>・まずは証明書を一般の生命保険、介護医療、個人年金、地震保険、損害保険　等に分けてみましょう。（地震保険・損害保険・国民年金等は別のシートで入力します。）</t>
    <phoneticPr fontId="2"/>
  </si>
  <si>
    <t>金額（円）</t>
    <rPh sb="0" eb="2">
      <t>キンガク</t>
    </rPh>
    <rPh sb="3" eb="4">
      <t>エン</t>
    </rPh>
    <phoneticPr fontId="2"/>
  </si>
  <si>
    <t>保険料の</t>
    <rPh sb="0" eb="3">
      <t>ホケンリョウ</t>
    </rPh>
    <phoneticPr fontId="2"/>
  </si>
  <si>
    <t>●生命保険料控除の限度を超えました。　どの種類も　これ以上入力しても控除額は増えません。</t>
    <rPh sb="1" eb="3">
      <t>セイメイ</t>
    </rPh>
    <rPh sb="3" eb="6">
      <t>ホケンリョウ</t>
    </rPh>
    <rPh sb="6" eb="8">
      <t>コウジョ</t>
    </rPh>
    <rPh sb="9" eb="11">
      <t>ゲンド</t>
    </rPh>
    <rPh sb="12" eb="13">
      <t>コ</t>
    </rPh>
    <rPh sb="21" eb="23">
      <t>シュルイ</t>
    </rPh>
    <rPh sb="27" eb="29">
      <t>イジョウ</t>
    </rPh>
    <rPh sb="29" eb="31">
      <t>ニュウリョク</t>
    </rPh>
    <rPh sb="34" eb="36">
      <t>コウジョ</t>
    </rPh>
    <rPh sb="36" eb="37">
      <t>ガク</t>
    </rPh>
    <rPh sb="38" eb="39">
      <t>フ</t>
    </rPh>
    <phoneticPr fontId="2"/>
  </si>
  <si>
    <t>個人年金</t>
    <phoneticPr fontId="2"/>
  </si>
  <si>
    <t>入力年金１</t>
    <rPh sb="0" eb="2">
      <t>ニュウリョク</t>
    </rPh>
    <rPh sb="2" eb="4">
      <t>ネンキン</t>
    </rPh>
    <phoneticPr fontId="2"/>
  </si>
  <si>
    <t>一般の.
生命保険</t>
    <rPh sb="0" eb="1">
      <t>イチ</t>
    </rPh>
    <rPh sb="1" eb="2">
      <t>ハン</t>
    </rPh>
    <rPh sb="5" eb="9">
      <t>セイメイホケン</t>
    </rPh>
    <phoneticPr fontId="2"/>
  </si>
  <si>
    <t>個人年金
保　　険</t>
    <rPh sb="0" eb="2">
      <t>コジン</t>
    </rPh>
    <rPh sb="2" eb="3">
      <t>ネン</t>
    </rPh>
    <rPh sb="3" eb="4">
      <t>キン</t>
    </rPh>
    <rPh sb="5" eb="6">
      <t>タモツ</t>
    </rPh>
    <rPh sb="8" eb="9">
      <t>ケン</t>
    </rPh>
    <phoneticPr fontId="2"/>
  </si>
  <si>
    <t>介護医療
保　　険</t>
    <rPh sb="0" eb="2">
      <t>カイゴ</t>
    </rPh>
    <rPh sb="2" eb="3">
      <t>イ</t>
    </rPh>
    <rPh sb="3" eb="4">
      <t>リョウ</t>
    </rPh>
    <rPh sb="5" eb="6">
      <t>タモツ</t>
    </rPh>
    <rPh sb="8" eb="9">
      <t>ケン</t>
    </rPh>
    <phoneticPr fontId="2"/>
  </si>
  <si>
    <t>保険種類</t>
    <rPh sb="0" eb="4">
      <t>ホケンシュルイ</t>
    </rPh>
    <phoneticPr fontId="2"/>
  </si>
  <si>
    <t>新旧区分</t>
    <rPh sb="0" eb="4">
      <t>シンキュウクブン</t>
    </rPh>
    <phoneticPr fontId="2"/>
  </si>
  <si>
    <t>　　★・・・リストが表示されます。リストに該当項目が表示されない場合は、キーボードから入力も可能です。　　</t>
    <rPh sb="10" eb="12">
      <t>ヒョウジ</t>
    </rPh>
    <rPh sb="21" eb="25">
      <t>ガイトウコウモク</t>
    </rPh>
    <rPh sb="26" eb="28">
      <t>ヒョウジ</t>
    </rPh>
    <rPh sb="32" eb="34">
      <t>バアイ</t>
    </rPh>
    <rPh sb="43" eb="45">
      <t>ニュウリョク</t>
    </rPh>
    <rPh sb="46" eb="48">
      <t>カノウ</t>
    </rPh>
    <phoneticPr fontId="2"/>
  </si>
  <si>
    <t>一般/介護医療</t>
    <rPh sb="0" eb="2">
      <t>イッパン</t>
    </rPh>
    <rPh sb="3" eb="5">
      <t>カイゴ</t>
    </rPh>
    <rPh sb="5" eb="7">
      <t>イリョウ</t>
    </rPh>
    <phoneticPr fontId="2"/>
  </si>
  <si>
    <t>一般の生命保険</t>
    <phoneticPr fontId="2"/>
  </si>
  <si>
    <t>個人年金保険</t>
    <phoneticPr fontId="2"/>
  </si>
  <si>
    <t>新旧区分</t>
    <phoneticPr fontId="2"/>
  </si>
  <si>
    <t>新旧区分2</t>
    <phoneticPr fontId="2"/>
  </si>
  <si>
    <t>１つの保険が２～３種類の保険種類を兼ねている場合、保険種類ごとに２～３行を使用します。</t>
    <rPh sb="3" eb="5">
      <t>ホケン</t>
    </rPh>
    <rPh sb="9" eb="11">
      <t>シュルイ</t>
    </rPh>
    <rPh sb="12" eb="16">
      <t>ホケンシュルイ</t>
    </rPh>
    <rPh sb="17" eb="18">
      <t>カ</t>
    </rPh>
    <rPh sb="22" eb="24">
      <t>バアイ</t>
    </rPh>
    <rPh sb="25" eb="29">
      <t>ホケンシュルイ</t>
    </rPh>
    <rPh sb="35" eb="36">
      <t>ギョウ</t>
    </rPh>
    <rPh sb="37" eb="39">
      <t>シヨウ</t>
    </rPh>
    <phoneticPr fontId="2"/>
  </si>
  <si>
    <t>年金受取人</t>
    <rPh sb="0" eb="2">
      <t>ネンキン</t>
    </rPh>
    <phoneticPr fontId="2"/>
  </si>
  <si>
    <t>の氏名</t>
    <rPh sb="1" eb="3">
      <t>シメイ</t>
    </rPh>
    <phoneticPr fontId="2"/>
  </si>
  <si>
    <t>との続柄</t>
    <rPh sb="2" eb="3">
      <t>ツヅ</t>
    </rPh>
    <rPh sb="3" eb="4">
      <t>ガラ</t>
    </rPh>
    <phoneticPr fontId="2"/>
  </si>
  <si>
    <t>期間(年)</t>
    <rPh sb="0" eb="2">
      <t>キカン</t>
    </rPh>
    <rPh sb="3" eb="4">
      <t>ネン</t>
    </rPh>
    <phoneticPr fontId="2"/>
  </si>
  <si>
    <t>年金支払</t>
    <phoneticPr fontId="2"/>
  </si>
  <si>
    <t>開始日</t>
    <phoneticPr fontId="2"/>
  </si>
  <si>
    <t>仮データ</t>
    <rPh sb="0" eb="1">
      <t>カリ</t>
    </rPh>
    <phoneticPr fontId="2"/>
  </si>
  <si>
    <t>本データ</t>
    <rPh sb="0" eb="1">
      <t>ホン</t>
    </rPh>
    <phoneticPr fontId="2"/>
  </si>
  <si>
    <t>保険料あと</t>
    <rPh sb="0" eb="3">
      <t>ホケンリョウ</t>
    </rPh>
    <phoneticPr fontId="2"/>
  </si>
  <si>
    <t>↓　保険種別ごとの限度額の情報　</t>
    <rPh sb="2" eb="6">
      <t>ホケンシュベツ</t>
    </rPh>
    <rPh sb="9" eb="12">
      <t>ゲンドガク</t>
    </rPh>
    <rPh sb="13" eb="15">
      <t>ジョウホウ</t>
    </rPh>
    <phoneticPr fontId="2"/>
  </si>
  <si>
    <t>本人</t>
    <phoneticPr fontId="2"/>
  </si>
  <si>
    <t>２ランク目の始まり金額＆引く金額　A</t>
    <rPh sb="4" eb="5">
      <t>メ</t>
    </rPh>
    <rPh sb="6" eb="7">
      <t>ハジ</t>
    </rPh>
    <rPh sb="9" eb="11">
      <t>キンガク</t>
    </rPh>
    <rPh sb="12" eb="13">
      <t>ヒ</t>
    </rPh>
    <rPh sb="14" eb="16">
      <t>キンガク</t>
    </rPh>
    <phoneticPr fontId="2"/>
  </si>
  <si>
    <t>B</t>
    <phoneticPr fontId="2"/>
  </si>
  <si>
    <t>６５歳未満</t>
    <rPh sb="2" eb="3">
      <t>サイ</t>
    </rPh>
    <rPh sb="3" eb="5">
      <t>ミマン</t>
    </rPh>
    <phoneticPr fontId="2"/>
  </si>
  <si>
    <t>６５歳以上</t>
    <rPh sb="2" eb="3">
      <t>サイ</t>
    </rPh>
    <rPh sb="3" eb="5">
      <t>イジョウ</t>
    </rPh>
    <phoneticPr fontId="2"/>
  </si>
  <si>
    <t>1000万円以下</t>
    <phoneticPr fontId="2"/>
  </si>
  <si>
    <t>2000万円超</t>
    <phoneticPr fontId="2"/>
  </si>
  <si>
    <t>引く金額　　C</t>
    <rPh sb="0" eb="1">
      <t>ヒ</t>
    </rPh>
    <rPh sb="2" eb="4">
      <t>キンガク</t>
    </rPh>
    <phoneticPr fontId="2"/>
  </si>
  <si>
    <t>年金以外の所得金額</t>
    <rPh sb="0" eb="4">
      <t>ネンキンイガイ</t>
    </rPh>
    <rPh sb="5" eb="7">
      <t>ショトク</t>
    </rPh>
    <rPh sb="7" eb="9">
      <t>キンガク</t>
    </rPh>
    <phoneticPr fontId="2"/>
  </si>
  <si>
    <t>3ランク</t>
    <phoneticPr fontId="2"/>
  </si>
  <si>
    <t>4ランク</t>
  </si>
  <si>
    <t>5ランク</t>
  </si>
  <si>
    <t>6ランク</t>
  </si>
  <si>
    <t>年金以外の所得金額</t>
    <rPh sb="5" eb="7">
      <t>ショトク</t>
    </rPh>
    <rPh sb="7" eb="9">
      <t>キンガク</t>
    </rPh>
    <phoneticPr fontId="2"/>
  </si>
  <si>
    <t>引く金額　C</t>
    <rPh sb="0" eb="1">
      <t>ヒ</t>
    </rPh>
    <rPh sb="2" eb="4">
      <t>キンガク</t>
    </rPh>
    <phoneticPr fontId="2"/>
  </si>
  <si>
    <t>年金の雑所得</t>
    <rPh sb="0" eb="2">
      <t>ネンキン</t>
    </rPh>
    <rPh sb="3" eb="6">
      <t>ザツショトク</t>
    </rPh>
    <phoneticPr fontId="2"/>
  </si>
  <si>
    <t>年金収入から雑所得算出</t>
    <rPh sb="0" eb="2">
      <t>ネンキン</t>
    </rPh>
    <rPh sb="2" eb="4">
      <t>シュウニュウ</t>
    </rPh>
    <rPh sb="6" eb="7">
      <t>ザツ</t>
    </rPh>
    <rPh sb="7" eb="11">
      <t>ショトクサンシュツ</t>
    </rPh>
    <phoneticPr fontId="2"/>
  </si>
  <si>
    <t>(配偶者　分）年齢・年金以外の所得により適用される速算表</t>
    <rPh sb="1" eb="4">
      <t>ハイグウシャ</t>
    </rPh>
    <rPh sb="7" eb="9">
      <t>ネンレイ</t>
    </rPh>
    <rPh sb="10" eb="12">
      <t>ネンキン</t>
    </rPh>
    <rPh sb="12" eb="14">
      <t>イガイ</t>
    </rPh>
    <rPh sb="15" eb="17">
      <t>ショトク</t>
    </rPh>
    <rPh sb="20" eb="22">
      <t>テキヨウ</t>
    </rPh>
    <rPh sb="25" eb="28">
      <t>ソクサンヒョウ</t>
    </rPh>
    <phoneticPr fontId="2"/>
  </si>
  <si>
    <t>(所得者　分）年齢・年金以外の所得により適用される速算表</t>
    <rPh sb="7" eb="9">
      <t>ネンレイ</t>
    </rPh>
    <rPh sb="10" eb="12">
      <t>ネンキン</t>
    </rPh>
    <rPh sb="12" eb="14">
      <t>イガイ</t>
    </rPh>
    <rPh sb="15" eb="17">
      <t>ショトク</t>
    </rPh>
    <rPh sb="20" eb="22">
      <t>テキヨウ</t>
    </rPh>
    <rPh sb="25" eb="28">
      <t>ソクサンヒョウ</t>
    </rPh>
    <phoneticPr fontId="2"/>
  </si>
  <si>
    <t>(配偶者　分）</t>
    <phoneticPr fontId="2"/>
  </si>
  <si>
    <t>(所得者　分）</t>
    <phoneticPr fontId="2"/>
  </si>
  <si>
    <t>年金所得の算出</t>
    <rPh sb="0" eb="4">
      <t>ネンキンショトク</t>
    </rPh>
    <rPh sb="5" eb="7">
      <t>サンシュツ</t>
    </rPh>
    <phoneticPr fontId="2"/>
  </si>
  <si>
    <t>▲氏名</t>
    <phoneticPr fontId="2"/>
  </si>
  <si>
    <t>●住所</t>
    <rPh sb="1" eb="3">
      <t>ジュウショ</t>
    </rPh>
    <phoneticPr fontId="2"/>
  </si>
  <si>
    <t>●住所は、</t>
    <phoneticPr fontId="2"/>
  </si>
  <si>
    <t>⇒　申告者の合計所得金額の見込み額の内訳</t>
    <rPh sb="18" eb="20">
      <t>ウチワケ</t>
    </rPh>
    <phoneticPr fontId="2"/>
  </si>
  <si>
    <t>保険会社名等の情報は、「↑と同じ」「２つ上と同じ」と入力すると、同じ情報が申告書に反映します。</t>
    <phoneticPr fontId="2"/>
  </si>
  <si>
    <t>利用者との</t>
    <rPh sb="0" eb="3">
      <t>リヨウシャ</t>
    </rPh>
    <phoneticPr fontId="2"/>
  </si>
  <si>
    <t>期間(年・終身)</t>
    <rPh sb="3" eb="4">
      <t>ネン</t>
    </rPh>
    <rPh sb="5" eb="7">
      <t>シュウシン</t>
    </rPh>
    <phoneticPr fontId="2"/>
  </si>
  <si>
    <t>(年・終身)</t>
    <rPh sb="1" eb="2">
      <t>ネン</t>
    </rPh>
    <rPh sb="3" eb="5">
      <t>シュウシン</t>
    </rPh>
    <phoneticPr fontId="2"/>
  </si>
  <si>
    <t>保険期間</t>
    <rPh sb="0" eb="2">
      <t>ホケン</t>
    </rPh>
    <phoneticPr fontId="2"/>
  </si>
  <si>
    <t>保険会社等の名称</t>
    <rPh sb="0" eb="2">
      <t>ホケン</t>
    </rPh>
    <rPh sb="2" eb="5">
      <t>ガイシャナド</t>
    </rPh>
    <rPh sb="6" eb="8">
      <t>メイショウ</t>
    </rPh>
    <phoneticPr fontId="2"/>
  </si>
  <si>
    <t>会社名・種類の文字数</t>
    <rPh sb="0" eb="3">
      <t>カイシャメイ</t>
    </rPh>
    <rPh sb="4" eb="6">
      <t>シュルイ</t>
    </rPh>
    <rPh sb="7" eb="9">
      <t>モジ</t>
    </rPh>
    <rPh sb="9" eb="10">
      <t>スウ</t>
    </rPh>
    <phoneticPr fontId="2"/>
  </si>
  <si>
    <t>会社名</t>
    <rPh sb="0" eb="3">
      <t>カイシャメイ</t>
    </rPh>
    <phoneticPr fontId="2"/>
  </si>
  <si>
    <t>文字超</t>
    <rPh sb="0" eb="2">
      <t>モジ</t>
    </rPh>
    <rPh sb="2" eb="3">
      <t>チョウ</t>
    </rPh>
    <phoneticPr fontId="2"/>
  </si>
  <si>
    <t>「保険会社等の名称」欄の文字数が多い場合、次の文字数超であれば２段で</t>
    <rPh sb="1" eb="3">
      <t>ホケン</t>
    </rPh>
    <rPh sb="3" eb="6">
      <t>ガイシャナド</t>
    </rPh>
    <rPh sb="7" eb="9">
      <t>メイショウ</t>
    </rPh>
    <rPh sb="10" eb="11">
      <t>ラン</t>
    </rPh>
    <rPh sb="12" eb="15">
      <t>モジスウ</t>
    </rPh>
    <rPh sb="16" eb="17">
      <t>オオ</t>
    </rPh>
    <rPh sb="18" eb="20">
      <t>バアイ</t>
    </rPh>
    <rPh sb="21" eb="22">
      <t>ツギ</t>
    </rPh>
    <rPh sb="23" eb="26">
      <t>モジスウ</t>
    </rPh>
    <rPh sb="26" eb="27">
      <t>チョウ</t>
    </rPh>
    <rPh sb="32" eb="33">
      <t>ダン</t>
    </rPh>
    <phoneticPr fontId="2"/>
  </si>
  <si>
    <t>「保険等の種類」欄の文字数が多い場合、次の文字数超であれば２段で</t>
    <rPh sb="1" eb="4">
      <t>ホケントウ</t>
    </rPh>
    <rPh sb="5" eb="7">
      <t>シュルイ</t>
    </rPh>
    <rPh sb="8" eb="9">
      <t>ラン</t>
    </rPh>
    <rPh sb="10" eb="13">
      <t>モジスウ</t>
    </rPh>
    <rPh sb="14" eb="15">
      <t>オオ</t>
    </rPh>
    <rPh sb="16" eb="18">
      <t>バアイ</t>
    </rPh>
    <rPh sb="19" eb="20">
      <t>ツギ</t>
    </rPh>
    <rPh sb="21" eb="24">
      <t>モジスウ</t>
    </rPh>
    <rPh sb="24" eb="25">
      <t>チョウ</t>
    </rPh>
    <rPh sb="30" eb="31">
      <t>ダン</t>
    </rPh>
    <phoneticPr fontId="2"/>
  </si>
  <si>
    <t>区分Ⅰと基礎控除の額</t>
    <phoneticPr fontId="2"/>
  </si>
  <si>
    <t>表示</t>
    <rPh sb="0" eb="2">
      <t>ヒョウジ</t>
    </rPh>
    <phoneticPr fontId="2"/>
  </si>
  <si>
    <t>こちらにはA小規模企業共済控除・B地震保険料控除・C社会保険料控除・に該当する保険・共済等について</t>
    <rPh sb="22" eb="24">
      <t>コウジョ</t>
    </rPh>
    <rPh sb="29" eb="31">
      <t>ジシン</t>
    </rPh>
    <rPh sb="31" eb="33">
      <t>コウジョ</t>
    </rPh>
    <rPh sb="33" eb="36">
      <t>ホケンリョウ</t>
    </rPh>
    <rPh sb="38" eb="40">
      <t>シャカイ</t>
    </rPh>
    <rPh sb="40" eb="43">
      <t>ホケンリョウ</t>
    </rPh>
    <rPh sb="45" eb="47">
      <t>ガイトウ</t>
    </rPh>
    <phoneticPr fontId="2"/>
  </si>
  <si>
    <t>給与・年金から保険料等が差し引かれる前の金額を入力）</t>
    <rPh sb="0" eb="2">
      <t>キュウヨ</t>
    </rPh>
    <rPh sb="3" eb="5">
      <t>ネンキン</t>
    </rPh>
    <rPh sb="9" eb="10">
      <t>リョウ</t>
    </rPh>
    <phoneticPr fontId="2"/>
  </si>
  <si>
    <t>利用者氏名</t>
    <rPh sb="0" eb="3">
      <t>リヨウシャ</t>
    </rPh>
    <rPh sb="3" eb="5">
      <t>シメイ</t>
    </rPh>
    <phoneticPr fontId="2"/>
  </si>
  <si>
    <t>になっている者の氏名</t>
    <rPh sb="8" eb="9">
      <t>シ</t>
    </rPh>
    <rPh sb="9" eb="10">
      <t>ナ</t>
    </rPh>
    <phoneticPr fontId="2"/>
  </si>
  <si>
    <t>保険料を負担すること</t>
    <rPh sb="0" eb="3">
      <t>ホケンリョウ</t>
    </rPh>
    <rPh sb="4" eb="6">
      <t>フタン</t>
    </rPh>
    <phoneticPr fontId="2"/>
  </si>
  <si>
    <t>保険料を負担することに</t>
    <rPh sb="0" eb="3">
      <t>ホケンリョウ</t>
    </rPh>
    <rPh sb="4" eb="6">
      <t>フタン</t>
    </rPh>
    <phoneticPr fontId="2"/>
  </si>
  <si>
    <t>なっている者との続柄</t>
    <rPh sb="8" eb="10">
      <t>ツヅキガラ</t>
    </rPh>
    <phoneticPr fontId="2"/>
  </si>
  <si>
    <t>年末調整の日付</t>
    <rPh sb="0" eb="2">
      <t>ネンマツ</t>
    </rPh>
    <rPh sb="2" eb="4">
      <t>チョウセイ</t>
    </rPh>
    <rPh sb="5" eb="7">
      <t>ヒヅケ</t>
    </rPh>
    <phoneticPr fontId="2"/>
  </si>
  <si>
    <t>氏名リスト（旧姓利用なら本名へ</t>
    <rPh sb="0" eb="2">
      <t>シメイ</t>
    </rPh>
    <rPh sb="6" eb="8">
      <t>キュウセイ</t>
    </rPh>
    <rPh sb="8" eb="10">
      <t>リヨウ</t>
    </rPh>
    <rPh sb="12" eb="14">
      <t>ホンミョウ</t>
    </rPh>
    <phoneticPr fontId="2"/>
  </si>
  <si>
    <t>　（離婚などで）本名が秘密なら旧姓を入力しておく）</t>
    <rPh sb="2" eb="4">
      <t>リコン</t>
    </rPh>
    <phoneticPr fontId="2"/>
  </si>
  <si>
    <t>A1</t>
    <phoneticPr fontId="2"/>
  </si>
  <si>
    <t>A2</t>
    <phoneticPr fontId="2"/>
  </si>
  <si>
    <t>B１</t>
    <phoneticPr fontId="2"/>
  </si>
  <si>
    <t>あああ１</t>
    <phoneticPr fontId="2"/>
  </si>
  <si>
    <t>あああ２</t>
    <phoneticPr fontId="2"/>
  </si>
  <si>
    <t>１１月の提出の段階で、現勤務先の給与収入を入力</t>
    <phoneticPr fontId="2"/>
  </si>
  <si>
    <t>B２</t>
    <phoneticPr fontId="2"/>
  </si>
  <si>
    <t>配偶者・扶養親族のマイナンバーを入力</t>
    <phoneticPr fontId="2"/>
  </si>
  <si>
    <t>C１</t>
    <phoneticPr fontId="2"/>
  </si>
  <si>
    <t>させない場合、マイナンバー欄に↓を表示</t>
    <rPh sb="4" eb="6">
      <t>バアイ</t>
    </rPh>
    <rPh sb="13" eb="14">
      <t>ラン</t>
    </rPh>
    <rPh sb="17" eb="19">
      <t>ヒョウジ</t>
    </rPh>
    <phoneticPr fontId="2"/>
  </si>
  <si>
    <t>C２</t>
    <phoneticPr fontId="2"/>
  </si>
  <si>
    <t>D１</t>
    <phoneticPr fontId="2"/>
  </si>
  <si>
    <t>保険料控除申告書の「給与支払者の確認欄」に</t>
    <rPh sb="0" eb="3">
      <t>ホケンリョウ</t>
    </rPh>
    <rPh sb="3" eb="5">
      <t>コウジョ</t>
    </rPh>
    <rPh sb="5" eb="8">
      <t>シンコクショ</t>
    </rPh>
    <rPh sb="10" eb="12">
      <t>キュウヨ</t>
    </rPh>
    <rPh sb="12" eb="14">
      <t>シハライ</t>
    </rPh>
    <rPh sb="14" eb="15">
      <t>シャ</t>
    </rPh>
    <rPh sb="16" eb="18">
      <t>カクニン</t>
    </rPh>
    <rPh sb="18" eb="19">
      <t>ラン</t>
    </rPh>
    <phoneticPr fontId="2"/>
  </si>
  <si>
    <t>証明書の整理番号を印字する。</t>
    <phoneticPr fontId="2"/>
  </si>
  <si>
    <t>D2</t>
    <phoneticPr fontId="2"/>
  </si>
  <si>
    <t>★前職での源泉徴収票を提出済・提出予定ならば</t>
    <rPh sb="1" eb="3">
      <t>ゼンショク</t>
    </rPh>
    <rPh sb="5" eb="10">
      <t>ゲンセンチョウシュウヒョウ</t>
    </rPh>
    <rPh sb="11" eb="13">
      <t>テイシュツ</t>
    </rPh>
    <rPh sb="13" eb="14">
      <t>ズ</t>
    </rPh>
    <rPh sb="15" eb="17">
      <t>テイシュツ</t>
    </rPh>
    <rPh sb="17" eb="19">
      <t>ヨテイ</t>
    </rPh>
    <phoneticPr fontId="2"/>
  </si>
  <si>
    <t>（税金・介護保険料が差し引かれる前の金額）</t>
    <phoneticPr fontId="2"/>
  </si>
  <si>
    <t>年金収入がある場合、配偶者の「年金以外の</t>
    <rPh sb="0" eb="4">
      <t>ネンキンシュウニュウ</t>
    </rPh>
    <rPh sb="7" eb="9">
      <t>バアイ</t>
    </rPh>
    <rPh sb="10" eb="13">
      <t>ハイグウシャ</t>
    </rPh>
    <phoneticPr fontId="2"/>
  </si>
  <si>
    <t>所得金額」の見込み（区分）</t>
    <phoneticPr fontId="2"/>
  </si>
  <si>
    <t>・２３歳未満の扶養親族には、１６歳未満の年少扶養親族も含まれます。
・所得金額調整控除における２３歳未満の扶養親族・特別障害者は、他の所得者が扶養控除の対象とした人であっても、申告者が対象者として申告してかまいません。（但し、合計所得金額が４８万円以下の配偶者・扶養親族のみ）</t>
    <rPh sb="35" eb="37">
      <t>ショトク</t>
    </rPh>
    <rPh sb="37" eb="39">
      <t>キンガク</t>
    </rPh>
    <rPh sb="39" eb="41">
      <t>チョウセイ</t>
    </rPh>
    <rPh sb="41" eb="43">
      <t>コウジョ</t>
    </rPh>
    <rPh sb="71" eb="73">
      <t>フヨウ</t>
    </rPh>
    <rPh sb="81" eb="82">
      <t>ヒト</t>
    </rPh>
    <rPh sb="88" eb="91">
      <t>シンコクシャ</t>
    </rPh>
    <rPh sb="98" eb="100">
      <t>シンコク</t>
    </rPh>
    <rPh sb="110" eb="111">
      <t>タダ</t>
    </rPh>
    <rPh sb="113" eb="119">
      <t>ゴウケイショトクキンガク</t>
    </rPh>
    <rPh sb="122" eb="124">
      <t>マンエン</t>
    </rPh>
    <rPh sb="124" eb="126">
      <t>イカ</t>
    </rPh>
    <rPh sb="127" eb="130">
      <t>ハイグウシャ</t>
    </rPh>
    <rPh sb="131" eb="133">
      <t>フヨウ</t>
    </rPh>
    <rPh sb="133" eb="135">
      <t>シンゾク</t>
    </rPh>
    <phoneticPr fontId="2"/>
  </si>
  <si>
    <t>　印字する場合は　右側の氏名リストに入力が必要です。→</t>
    <rPh sb="1" eb="3">
      <t>インジ</t>
    </rPh>
    <rPh sb="5" eb="7">
      <t>バアイ</t>
    </rPh>
    <rPh sb="9" eb="11">
      <t>ミギガワ</t>
    </rPh>
    <rPh sb="12" eb="14">
      <t>シメイ</t>
    </rPh>
    <rPh sb="18" eb="20">
      <t>ニュウリョク</t>
    </rPh>
    <rPh sb="21" eb="23">
      <t>ヒツヨウ</t>
    </rPh>
    <phoneticPr fontId="2"/>
  </si>
  <si>
    <t>整理番号を印字する/印字しない</t>
    <rPh sb="0" eb="4">
      <t>セイリバンゴウ</t>
    </rPh>
    <rPh sb="5" eb="7">
      <t>インジ</t>
    </rPh>
    <rPh sb="10" eb="12">
      <t>インジ</t>
    </rPh>
    <phoneticPr fontId="2"/>
  </si>
  <si>
    <t>氏名リストを入力して、</t>
    <phoneticPr fontId="2"/>
  </si>
  <si>
    <t>給与の支払い者おおおお</t>
    <rPh sb="0" eb="2">
      <t>キュウヨ</t>
    </rPh>
    <rPh sb="3" eb="5">
      <t>シハラ</t>
    </rPh>
    <rPh sb="6" eb="7">
      <t>シャ</t>
    </rPh>
    <phoneticPr fontId="2"/>
  </si>
  <si>
    <t>1234567891234</t>
    <phoneticPr fontId="2"/>
  </si>
  <si>
    <t>千葉市中央区あああああ１１１１－１１１１１１</t>
    <rPh sb="0" eb="3">
      <t>チバシ</t>
    </rPh>
    <rPh sb="3" eb="6">
      <t>チュウオウク</t>
    </rPh>
    <phoneticPr fontId="2"/>
  </si>
  <si>
    <t>ああああ</t>
    <phoneticPr fontId="2"/>
  </si>
  <si>
    <t>あああ１</t>
  </si>
  <si>
    <t>アアアアアイチ</t>
    <phoneticPr fontId="2"/>
  </si>
  <si>
    <t>柏市おおおおお町１１１－９９９９　おおおおお荘２２２号</t>
    <rPh sb="0" eb="2">
      <t>カシワシ</t>
    </rPh>
    <rPh sb="7" eb="8">
      <t>マチ</t>
    </rPh>
    <rPh sb="22" eb="23">
      <t>ソウ</t>
    </rPh>
    <rPh sb="26" eb="27">
      <t>ゴウ</t>
    </rPh>
    <phoneticPr fontId="2"/>
  </si>
  <si>
    <t>イイイイイイイ１</t>
    <phoneticPr fontId="2"/>
  </si>
  <si>
    <t>五五イ伊</t>
    <rPh sb="0" eb="1">
      <t>イ</t>
    </rPh>
    <rPh sb="1" eb="2">
      <t>イ</t>
    </rPh>
    <rPh sb="3" eb="4">
      <t>イ</t>
    </rPh>
    <phoneticPr fontId="2"/>
  </si>
  <si>
    <t>別居</t>
  </si>
  <si>
    <t>いろは市ううう町１１１－５５５</t>
    <rPh sb="3" eb="4">
      <t>シ</t>
    </rPh>
    <rPh sb="7" eb="8">
      <t>マチ</t>
    </rPh>
    <phoneticPr fontId="2"/>
  </si>
  <si>
    <t>入力してください。　　申告書の印刷は「⑤印刷（保険控除）」のシートで行います。</t>
    <rPh sb="20" eb="22">
      <t>インサツ</t>
    </rPh>
    <rPh sb="23" eb="27">
      <t>ホケンコウジョ</t>
    </rPh>
    <phoneticPr fontId="2"/>
  </si>
  <si>
    <t>配偶者に所得はない＝無 　 ある＝有</t>
    <rPh sb="0" eb="3">
      <t>ハイグウシャ</t>
    </rPh>
    <rPh sb="4" eb="6">
      <t>ショトク</t>
    </rPh>
    <rPh sb="10" eb="11">
      <t>ナ</t>
    </rPh>
    <rPh sb="17" eb="18">
      <t>アリ</t>
    </rPh>
    <phoneticPr fontId="2"/>
  </si>
  <si>
    <r>
      <t>申告者</t>
    </r>
    <r>
      <rPr>
        <sz val="11"/>
        <color theme="1"/>
        <rFont val="ＭＳ Ｐ明朝"/>
        <family val="1"/>
        <charset val="128"/>
      </rPr>
      <t>　給与所得</t>
    </r>
    <rPh sb="0" eb="3">
      <t>シンコクシャ</t>
    </rPh>
    <rPh sb="4" eb="6">
      <t>キュウヨ</t>
    </rPh>
    <rPh sb="6" eb="8">
      <t>ショトク</t>
    </rPh>
    <phoneticPr fontId="2"/>
  </si>
  <si>
    <r>
      <t>配偶者</t>
    </r>
    <r>
      <rPr>
        <sz val="11"/>
        <color theme="1"/>
        <rFont val="ＭＳ Ｐ明朝"/>
        <family val="1"/>
        <charset val="128"/>
      </rPr>
      <t>　給与所得</t>
    </r>
    <rPh sb="0" eb="3">
      <t>ハイグウシャ</t>
    </rPh>
    <rPh sb="4" eb="6">
      <t>キュウヨ</t>
    </rPh>
    <rPh sb="6" eb="8">
      <t>ショトク</t>
    </rPh>
    <phoneticPr fontId="2"/>
  </si>
  <si>
    <t>あああああ</t>
    <phoneticPr fontId="2"/>
  </si>
  <si>
    <t>ああおおお１</t>
    <phoneticPr fontId="2"/>
  </si>
  <si>
    <t>子</t>
    <rPh sb="0" eb="1">
      <t>コ</t>
    </rPh>
    <phoneticPr fontId="2"/>
  </si>
  <si>
    <t>-</t>
  </si>
  <si>
    <t>いいいい</t>
    <phoneticPr fontId="2"/>
  </si>
  <si>
    <t>本人</t>
  </si>
  <si>
    <t>あああ保険</t>
  </si>
  <si>
    <t>あああ保険</t>
    <rPh sb="3" eb="5">
      <t>ホケン</t>
    </rPh>
    <phoneticPr fontId="2"/>
  </si>
  <si>
    <t>おおおおおおおお保険</t>
    <rPh sb="8" eb="10">
      <t>ホケン</t>
    </rPh>
    <phoneticPr fontId="2"/>
  </si>
  <si>
    <t>おおおおおおおおお</t>
    <phoneticPr fontId="2"/>
  </si>
  <si>
    <t>あああ３</t>
    <phoneticPr fontId="2"/>
  </si>
  <si>
    <t>おおおお</t>
    <phoneticPr fontId="2"/>
  </si>
  <si>
    <t>母</t>
    <rPh sb="0" eb="1">
      <t>ハハ</t>
    </rPh>
    <phoneticPr fontId="2"/>
  </si>
  <si>
    <t>/個人年金</t>
    <rPh sb="1" eb="5">
      <t>コジンネンキン</t>
    </rPh>
    <phoneticPr fontId="2"/>
  </si>
  <si>
    <t>おおおおお1</t>
    <phoneticPr fontId="2"/>
  </si>
  <si>
    <t>おおおおお2</t>
  </si>
  <si>
    <t>おおおおお3</t>
  </si>
  <si>
    <t>母1</t>
  </si>
  <si>
    <t>母1</t>
    <rPh sb="0" eb="1">
      <t>ハハ</t>
    </rPh>
    <phoneticPr fontId="2"/>
  </si>
  <si>
    <t>母2</t>
    <rPh sb="0" eb="1">
      <t>ハハ</t>
    </rPh>
    <phoneticPr fontId="2"/>
  </si>
  <si>
    <t>母3</t>
    <rPh sb="0" eb="1">
      <t>ハハ</t>
    </rPh>
    <phoneticPr fontId="2"/>
  </si>
  <si>
    <t>うううううう保険</t>
    <rPh sb="6" eb="8">
      <t>ホケン</t>
    </rPh>
    <phoneticPr fontId="2"/>
  </si>
  <si>
    <t>うううう</t>
    <phoneticPr fontId="2"/>
  </si>
  <si>
    <t>ううう６</t>
    <phoneticPr fontId="2"/>
  </si>
  <si>
    <t>ううう８</t>
    <phoneticPr fontId="2"/>
  </si>
  <si>
    <t>父</t>
    <rPh sb="0" eb="1">
      <t>チチ</t>
    </rPh>
    <phoneticPr fontId="2"/>
  </si>
  <si>
    <t>と１</t>
    <phoneticPr fontId="2"/>
  </si>
  <si>
    <t>ととと１</t>
    <phoneticPr fontId="2"/>
  </si>
  <si>
    <t>終身</t>
    <rPh sb="0" eb="2">
      <t>シュウシン</t>
    </rPh>
    <phoneticPr fontId="2"/>
  </si>
  <si>
    <t>保険料計</t>
    <rPh sb="0" eb="3">
      <t>ホケンリョウ</t>
    </rPh>
    <rPh sb="3" eb="4">
      <t>ケイ</t>
    </rPh>
    <phoneticPr fontId="2"/>
  </si>
  <si>
    <t>１つ上と同じ</t>
    <rPh sb="2" eb="3">
      <t>ウエ</t>
    </rPh>
    <rPh sb="4" eb="5">
      <t>オナ</t>
    </rPh>
    <phoneticPr fontId="2"/>
  </si>
  <si>
    <r>
      <t>　　　を入力してください。</t>
    </r>
    <r>
      <rPr>
        <sz val="14"/>
        <color theme="1"/>
        <rFont val="ＭＳ Ｐ明朝"/>
        <family val="1"/>
        <charset val="128"/>
      </rPr>
      <t>⇓</t>
    </r>
    <rPh sb="4" eb="6">
      <t>ニュウリョク</t>
    </rPh>
    <phoneticPr fontId="2"/>
  </si>
  <si>
    <t>配偶者の所得が１３３万円以下で、申告者の所得が１０００万円以下であれば該当となります。（給与収入だけならば、収入２０１万６千円未満）</t>
    <rPh sb="0" eb="3">
      <t>ハイグウシャ</t>
    </rPh>
    <rPh sb="4" eb="6">
      <t>ショトク</t>
    </rPh>
    <rPh sb="10" eb="14">
      <t>マンエンイカ</t>
    </rPh>
    <rPh sb="16" eb="19">
      <t>シンコクシャ</t>
    </rPh>
    <rPh sb="20" eb="22">
      <t>ショトク</t>
    </rPh>
    <rPh sb="27" eb="31">
      <t>マンエンイカ</t>
    </rPh>
    <rPh sb="54" eb="56">
      <t>シュウニュウ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</si>
</sst>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DBNum3]0"/>
    <numFmt numFmtId="178" formatCode="#"/>
    <numFmt numFmtId="179" formatCode="[$-411]ge\.m\.d;@"/>
    <numFmt numFmtId="180" formatCode="0.00_);[Red]\(0.00\)"/>
    <numFmt numFmtId="181" formatCode="[$-411]ggge&quot;年&quot;m&quot;月&quot;d&quot;日&quot;;@"/>
    <numFmt numFmtId="182" formatCode="#,##0_);[Red]\(#,##0\)"/>
    <numFmt numFmtId="183" formatCode="#,###&quot;円&quot;"/>
    <numFmt numFmtId="184" formatCode="#,##0_ "/>
  </numFmts>
  <fonts count="71">
    <font>
      <sz val="11"/>
      <color theme="1"/>
      <name val="ＭＳ Ｐ明朝"/>
      <family val="2"/>
      <charset val="128"/>
    </font>
    <font>
      <sz val="11"/>
      <color theme="1"/>
      <name val="ＭＳ Ｐ明朝"/>
      <family val="2"/>
      <charset val="128"/>
    </font>
    <font>
      <sz val="6"/>
      <name val="ＭＳ Ｐ明朝"/>
      <family val="2"/>
      <charset val="128"/>
    </font>
    <font>
      <sz val="11"/>
      <color theme="1"/>
      <name val="HGｺﾞｼｯｸE"/>
      <family val="3"/>
      <charset val="128"/>
    </font>
    <font>
      <sz val="11"/>
      <color theme="1"/>
      <name val="HG教科書体"/>
      <family val="1"/>
      <charset val="128"/>
    </font>
    <font>
      <sz val="9"/>
      <color theme="1"/>
      <name val="ＭＳ Ｐ明朝"/>
      <family val="2"/>
      <charset val="128"/>
    </font>
    <font>
      <sz val="8"/>
      <color theme="1"/>
      <name val="ＭＳ Ｐ明朝"/>
      <family val="1"/>
      <charset val="128"/>
    </font>
    <font>
      <sz val="9"/>
      <color theme="1"/>
      <name val="HG教科書体"/>
      <family val="1"/>
      <charset val="128"/>
    </font>
    <font>
      <sz val="8"/>
      <color theme="1"/>
      <name val="ＭＳ Ｐ明朝"/>
      <family val="2"/>
      <charset val="128"/>
    </font>
    <font>
      <sz val="11"/>
      <color theme="1"/>
      <name val="ＭＳ Ｐゴシック"/>
      <family val="3"/>
      <charset val="128"/>
    </font>
    <font>
      <u/>
      <sz val="11"/>
      <color theme="1"/>
      <name val="ＭＳ Ｐ明朝"/>
      <family val="2"/>
      <charset val="128"/>
    </font>
    <font>
      <sz val="11"/>
      <color theme="1"/>
      <name val="HG創英角ｺﾞｼｯｸUB"/>
      <family val="3"/>
      <charset val="128"/>
    </font>
    <font>
      <sz val="14"/>
      <color theme="1"/>
      <name val="ＭＳ Ｐ明朝"/>
      <family val="2"/>
      <charset val="128"/>
    </font>
    <font>
      <sz val="11"/>
      <color theme="1"/>
      <name val="ＭＳ Ｐ明朝"/>
      <family val="1"/>
      <charset val="128"/>
    </font>
    <font>
      <sz val="11"/>
      <color rgb="FFFF0000"/>
      <name val="ＭＳ Ｐ明朝"/>
      <family val="1"/>
      <charset val="128"/>
    </font>
    <font>
      <sz val="6"/>
      <color theme="1"/>
      <name val="HGPｺﾞｼｯｸE"/>
      <family val="3"/>
      <charset val="128"/>
    </font>
    <font>
      <sz val="10"/>
      <color theme="1"/>
      <name val="ＭＳ Ｐ明朝"/>
      <family val="2"/>
      <charset val="128"/>
    </font>
    <font>
      <sz val="12"/>
      <color theme="1"/>
      <name val="ＭＳ Ｐ明朝"/>
      <family val="2"/>
      <charset val="128"/>
    </font>
    <font>
      <sz val="11"/>
      <color theme="1"/>
      <name val="HGP教科書体"/>
      <family val="1"/>
      <charset val="128"/>
    </font>
    <font>
      <sz val="11"/>
      <color theme="1"/>
      <name val="HGPｺﾞｼｯｸE"/>
      <family val="3"/>
      <charset val="128"/>
    </font>
    <font>
      <sz val="13"/>
      <color theme="1"/>
      <name val="ＭＳ Ｐ明朝"/>
      <family val="2"/>
      <charset val="128"/>
    </font>
    <font>
      <sz val="10"/>
      <color theme="1"/>
      <name val="HG教科書体"/>
      <family val="1"/>
      <charset val="128"/>
    </font>
    <font>
      <sz val="10"/>
      <color theme="1"/>
      <name val="ＭＳ Ｐ明朝"/>
      <family val="1"/>
      <charset val="128"/>
    </font>
    <font>
      <sz val="10"/>
      <color rgb="FFFF0000"/>
      <name val="ＭＳ Ｐ明朝"/>
      <family val="1"/>
      <charset val="128"/>
    </font>
    <font>
      <b/>
      <sz val="11"/>
      <color theme="1"/>
      <name val="ＭＳ Ｐ明朝"/>
      <family val="1"/>
      <charset val="128"/>
    </font>
    <font>
      <sz val="6"/>
      <color theme="1"/>
      <name val="ＭＳ Ｐ明朝"/>
      <family val="2"/>
      <charset val="128"/>
    </font>
    <font>
      <sz val="7"/>
      <color theme="1"/>
      <name val="ＭＳ Ｐ明朝"/>
      <family val="2"/>
      <charset val="128"/>
    </font>
    <font>
      <sz val="11"/>
      <color theme="1"/>
      <name val="HGSｺﾞｼｯｸM"/>
      <family val="3"/>
      <charset val="128"/>
    </font>
    <font>
      <sz val="11"/>
      <color theme="1"/>
      <name val="HG正楷書体-PRO"/>
      <family val="4"/>
      <charset val="128"/>
    </font>
    <font>
      <sz val="9"/>
      <color theme="1"/>
      <name val="HG正楷書体-PRO"/>
      <family val="4"/>
      <charset val="128"/>
    </font>
    <font>
      <sz val="8"/>
      <color theme="1"/>
      <name val="HGｺﾞｼｯｸE"/>
      <family val="3"/>
      <charset val="128"/>
    </font>
    <font>
      <sz val="9"/>
      <color theme="1"/>
      <name val="HGｺﾞｼｯｸE"/>
      <family val="3"/>
      <charset val="128"/>
    </font>
    <font>
      <sz val="10"/>
      <color theme="1"/>
      <name val="HGｺﾞｼｯｸE"/>
      <family val="3"/>
      <charset val="128"/>
    </font>
    <font>
      <sz val="7"/>
      <color theme="1"/>
      <name val="HGｺﾞｼｯｸE"/>
      <family val="3"/>
      <charset val="128"/>
    </font>
    <font>
      <sz val="9"/>
      <color theme="1"/>
      <name val="HGPｺﾞｼｯｸE"/>
      <family val="3"/>
      <charset val="128"/>
    </font>
    <font>
      <sz val="10"/>
      <color theme="1"/>
      <name val="HGPｺﾞｼｯｸE"/>
      <family val="3"/>
      <charset val="128"/>
    </font>
    <font>
      <sz val="8"/>
      <color theme="1"/>
      <name val="HGPｺﾞｼｯｸE"/>
      <family val="3"/>
      <charset val="128"/>
    </font>
    <font>
      <sz val="12"/>
      <color theme="1"/>
      <name val="HGPｺﾞｼｯｸE"/>
      <family val="3"/>
      <charset val="128"/>
    </font>
    <font>
      <sz val="14"/>
      <color theme="1"/>
      <name val="HGPｺﾞｼｯｸE"/>
      <family val="3"/>
      <charset val="128"/>
    </font>
    <font>
      <sz val="9"/>
      <color theme="1"/>
      <name val="HG丸ｺﾞｼｯｸM-PRO"/>
      <family val="3"/>
      <charset val="128"/>
    </font>
    <font>
      <sz val="11"/>
      <color theme="1"/>
      <name val="HG丸ｺﾞｼｯｸM-PRO"/>
      <family val="3"/>
      <charset val="128"/>
    </font>
    <font>
      <sz val="12"/>
      <color theme="1"/>
      <name val="HG丸ｺﾞｼｯｸM-PRO"/>
      <family val="3"/>
      <charset val="128"/>
    </font>
    <font>
      <sz val="8"/>
      <color theme="1"/>
      <name val="HG丸ｺﾞｼｯｸM-PRO"/>
      <family val="3"/>
      <charset val="128"/>
    </font>
    <font>
      <sz val="9"/>
      <color theme="1"/>
      <name val="ＭＳ Ｐ明朝"/>
      <family val="1"/>
      <charset val="128"/>
    </font>
    <font>
      <sz val="11"/>
      <color theme="1"/>
      <name val="ＭＳ Ｐ明朝"/>
      <family val="3"/>
      <charset val="128"/>
    </font>
    <font>
      <sz val="9"/>
      <color theme="1"/>
      <name val="HG創英角ｺﾞｼｯｸUB"/>
      <family val="3"/>
      <charset val="128"/>
    </font>
    <font>
      <sz val="9"/>
      <color indexed="81"/>
      <name val="MS P ゴシック"/>
      <family val="3"/>
      <charset val="128"/>
    </font>
    <font>
      <b/>
      <sz val="9"/>
      <color indexed="81"/>
      <name val="MS P ゴシック"/>
      <family val="3"/>
      <charset val="128"/>
    </font>
    <font>
      <sz val="11"/>
      <color theme="1"/>
      <name val="HGP創英角ｺﾞｼｯｸUB"/>
      <family val="3"/>
      <charset val="128"/>
    </font>
    <font>
      <b/>
      <sz val="10"/>
      <color indexed="81"/>
      <name val="MS P ゴシック"/>
      <family val="3"/>
      <charset val="128"/>
    </font>
    <font>
      <sz val="12"/>
      <color theme="1"/>
      <name val="HG創英角ｺﾞｼｯｸUB"/>
      <family val="3"/>
      <charset val="128"/>
    </font>
    <font>
      <sz val="11"/>
      <color theme="1"/>
      <name val="HGS創英角ﾎﾟｯﾌﾟ体"/>
      <family val="3"/>
      <charset val="128"/>
    </font>
    <font>
      <b/>
      <sz val="10"/>
      <color indexed="81"/>
      <name val="ＭＳ Ｐゴシック"/>
      <family val="3"/>
      <charset val="128"/>
    </font>
    <font>
      <sz val="10"/>
      <color theme="1"/>
      <name val="HG丸ｺﾞｼｯｸM-PRO"/>
      <family val="3"/>
      <charset val="128"/>
    </font>
    <font>
      <sz val="11"/>
      <color rgb="FFFF0000"/>
      <name val="ＭＳ Ｐ明朝"/>
      <family val="2"/>
      <charset val="128"/>
    </font>
    <font>
      <sz val="11"/>
      <color theme="1"/>
      <name val="HGS創英角ｺﾞｼｯｸUB"/>
      <family val="3"/>
      <charset val="128"/>
    </font>
    <font>
      <b/>
      <sz val="12"/>
      <color indexed="81"/>
      <name val="MS P ゴシック"/>
      <family val="3"/>
      <charset val="128"/>
    </font>
    <font>
      <b/>
      <sz val="8"/>
      <color theme="1"/>
      <name val="HGP行書体"/>
      <family val="4"/>
      <charset val="128"/>
    </font>
    <font>
      <b/>
      <sz val="10"/>
      <color theme="1"/>
      <name val="HGP行書体"/>
      <family val="4"/>
      <charset val="128"/>
    </font>
    <font>
      <b/>
      <sz val="9"/>
      <color theme="1"/>
      <name val="HGP行書体"/>
      <family val="4"/>
      <charset val="128"/>
    </font>
    <font>
      <sz val="12"/>
      <color theme="1"/>
      <name val="ＭＳ Ｐ明朝"/>
      <family val="1"/>
      <charset val="128"/>
    </font>
    <font>
      <b/>
      <sz val="9"/>
      <color theme="1"/>
      <name val="ＭＳ Ｐ明朝"/>
      <family val="1"/>
      <charset val="128"/>
    </font>
    <font>
      <b/>
      <sz val="12"/>
      <color theme="1"/>
      <name val="HGP行書体"/>
      <family val="4"/>
      <charset val="128"/>
    </font>
    <font>
      <sz val="7"/>
      <color theme="1"/>
      <name val="HGPｺﾞｼｯｸE"/>
      <family val="3"/>
      <charset val="128"/>
    </font>
    <font>
      <b/>
      <sz val="12"/>
      <color theme="1"/>
      <name val="HGS創英角ｺﾞｼｯｸUB"/>
      <family val="3"/>
      <charset val="128"/>
    </font>
    <font>
      <sz val="14"/>
      <color rgb="FFFF0000"/>
      <name val="ＭＳ Ｐ明朝"/>
      <family val="1"/>
      <charset val="128"/>
    </font>
    <font>
      <sz val="11"/>
      <color theme="9" tint="-0.499984740745262"/>
      <name val="ＭＳ Ｐ明朝"/>
      <family val="2"/>
      <charset val="128"/>
    </font>
    <font>
      <sz val="11"/>
      <color rgb="FFFF0000"/>
      <name val="HGS創英角ｺﾞｼｯｸUB"/>
      <family val="3"/>
      <charset val="128"/>
    </font>
    <font>
      <sz val="11"/>
      <color rgb="FFFF0000"/>
      <name val="HGS創英角ﾎﾟｯﾌﾟ体"/>
      <family val="3"/>
      <charset val="128"/>
    </font>
    <font>
      <sz val="14"/>
      <color theme="1"/>
      <name val="HGS創英角ｺﾞｼｯｸUB"/>
      <family val="3"/>
      <charset val="128"/>
    </font>
    <font>
      <sz val="14"/>
      <color theme="1"/>
      <name val="ＭＳ Ｐ明朝"/>
      <family val="1"/>
      <charset val="128"/>
    </font>
  </fonts>
  <fills count="13">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indexed="64"/>
      </bottom>
      <diagonal/>
    </border>
    <border>
      <left/>
      <right style="thin">
        <color rgb="FFFF0000"/>
      </right>
      <top/>
      <bottom style="thin">
        <color indexed="64"/>
      </bottom>
      <diagonal/>
    </border>
    <border>
      <left style="thin">
        <color rgb="FFFF0000"/>
      </left>
      <right/>
      <top style="thin">
        <color indexed="64"/>
      </top>
      <bottom/>
      <diagonal/>
    </border>
    <border>
      <left/>
      <right style="thin">
        <color rgb="FFFF0000"/>
      </right>
      <top style="thin">
        <color indexed="64"/>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bottom style="thin">
        <color rgb="FFFF0000"/>
      </bottom>
      <diagonal/>
    </border>
    <border>
      <left/>
      <right style="thin">
        <color theme="1"/>
      </right>
      <top style="thin">
        <color indexed="64"/>
      </top>
      <bottom/>
      <diagonal/>
    </border>
    <border>
      <left/>
      <right style="thin">
        <color theme="1"/>
      </right>
      <top/>
      <bottom/>
      <diagonal/>
    </border>
    <border>
      <left style="thin">
        <color indexed="64"/>
      </left>
      <right style="thin">
        <color theme="1"/>
      </right>
      <top style="thin">
        <color indexed="64"/>
      </top>
      <bottom style="thin">
        <color indexed="64"/>
      </bottom>
      <diagonal/>
    </border>
    <border>
      <left style="thin">
        <color indexed="64"/>
      </left>
      <right/>
      <top style="thin">
        <color indexed="64"/>
      </top>
      <bottom style="thin">
        <color rgb="FFFF0000"/>
      </bottom>
      <diagonal/>
    </border>
    <border>
      <left/>
      <right style="thin">
        <color rgb="FFFF0000"/>
      </right>
      <top style="thin">
        <color indexed="64"/>
      </top>
      <bottom style="thin">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diagonalUp="1">
      <left style="medium">
        <color indexed="64"/>
      </left>
      <right style="thin">
        <color indexed="64"/>
      </right>
      <top/>
      <bottom style="medium">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medium">
        <color indexed="64"/>
      </left>
      <right style="thin">
        <color indexed="64"/>
      </right>
      <top/>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diagonalUp="1">
      <left style="double">
        <color indexed="64"/>
      </left>
      <right style="thin">
        <color indexed="64"/>
      </right>
      <top/>
      <bottom style="medium">
        <color indexed="64"/>
      </bottom>
      <diagonal style="thin">
        <color indexed="64"/>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FF0000"/>
      </left>
      <right/>
      <top style="dotted">
        <color theme="1"/>
      </top>
      <bottom/>
      <diagonal/>
    </border>
    <border>
      <left/>
      <right style="thin">
        <color indexed="64"/>
      </right>
      <top style="dotted">
        <color theme="1"/>
      </top>
      <bottom/>
      <diagonal/>
    </border>
    <border>
      <left style="thin">
        <color rgb="FFFF0000"/>
      </left>
      <right/>
      <top/>
      <bottom style="dotted">
        <color theme="1"/>
      </bottom>
      <diagonal/>
    </border>
    <border>
      <left/>
      <right/>
      <top/>
      <bottom style="dotted">
        <color theme="1"/>
      </bottom>
      <diagonal/>
    </border>
    <border diagonalUp="1">
      <left style="thin">
        <color indexed="64"/>
      </left>
      <right style="thin">
        <color indexed="64"/>
      </right>
      <top/>
      <bottom style="thin">
        <color indexed="64"/>
      </bottom>
      <diagonal style="thin">
        <color indexed="64"/>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1004">
    <xf numFmtId="0" fontId="0" fillId="0" borderId="0" xfId="0">
      <alignment vertical="center"/>
    </xf>
    <xf numFmtId="0" fontId="0" fillId="0" borderId="0" xfId="0" applyAlignment="1">
      <alignment horizontal="left" vertical="center"/>
    </xf>
    <xf numFmtId="0" fontId="0" fillId="0" borderId="0" xfId="0" applyAlignment="1">
      <alignment horizontal="center" vertical="center"/>
    </xf>
    <xf numFmtId="0" fontId="0" fillId="0" borderId="1" xfId="0" applyBorder="1">
      <alignment vertical="center"/>
    </xf>
    <xf numFmtId="0" fontId="0" fillId="0" borderId="0" xfId="0" applyAlignment="1">
      <alignment vertical="center" shrinkToFit="1"/>
    </xf>
    <xf numFmtId="0" fontId="0" fillId="0" borderId="1" xfId="0" applyBorder="1" applyAlignment="1">
      <alignment horizontal="center" vertical="center"/>
    </xf>
    <xf numFmtId="38" fontId="0" fillId="0" borderId="1" xfId="1" applyFont="1" applyBorder="1">
      <alignment vertical="center"/>
    </xf>
    <xf numFmtId="0" fontId="0" fillId="0" borderId="0" xfId="0" applyAlignment="1">
      <alignment horizontal="right" vertical="center"/>
    </xf>
    <xf numFmtId="38" fontId="0" fillId="0" borderId="1" xfId="0" applyNumberFormat="1" applyBorder="1">
      <alignment vertical="center"/>
    </xf>
    <xf numFmtId="38" fontId="0" fillId="0" borderId="1" xfId="1" applyFont="1" applyBorder="1" applyAlignment="1">
      <alignment vertical="center" shrinkToFit="1"/>
    </xf>
    <xf numFmtId="38" fontId="0" fillId="0" borderId="3" xfId="1" applyFont="1" applyBorder="1" applyAlignment="1">
      <alignment horizontal="center" vertical="center" shrinkToFit="1"/>
    </xf>
    <xf numFmtId="0" fontId="0" fillId="0" borderId="5" xfId="0" applyBorder="1" applyAlignment="1">
      <alignment horizontal="center" vertical="center"/>
    </xf>
    <xf numFmtId="0" fontId="0" fillId="0" borderId="0" xfId="0" applyAlignment="1">
      <alignment horizontal="left" vertical="center" shrinkToFit="1"/>
    </xf>
    <xf numFmtId="38" fontId="0" fillId="0" borderId="2" xfId="1" applyFont="1" applyBorder="1" applyAlignment="1">
      <alignment horizontal="center" vertical="center" shrinkToFit="1"/>
    </xf>
    <xf numFmtId="38" fontId="0" fillId="0" borderId="3" xfId="1" applyFont="1" applyBorder="1" applyAlignment="1">
      <alignment horizontal="center" vertical="center"/>
    </xf>
    <xf numFmtId="38" fontId="0" fillId="0" borderId="1" xfId="1" applyFont="1" applyBorder="1" applyAlignment="1">
      <alignment horizontal="center" vertical="center"/>
    </xf>
    <xf numFmtId="0" fontId="0" fillId="0" borderId="5" xfId="0" applyBorder="1">
      <alignment vertical="center"/>
    </xf>
    <xf numFmtId="0" fontId="0" fillId="0" borderId="7" xfId="0" applyBorder="1">
      <alignment vertical="center"/>
    </xf>
    <xf numFmtId="38" fontId="0" fillId="0" borderId="12" xfId="1" applyFont="1" applyBorder="1" applyAlignment="1">
      <alignment horizontal="center" vertical="center"/>
    </xf>
    <xf numFmtId="38" fontId="0" fillId="0" borderId="4" xfId="1" applyFont="1" applyBorder="1" applyAlignment="1">
      <alignment horizontal="center" vertical="center"/>
    </xf>
    <xf numFmtId="0" fontId="0" fillId="0" borderId="7" xfId="0" applyBorder="1" applyAlignment="1">
      <alignment horizontal="center" vertical="center" shrinkToFit="1"/>
    </xf>
    <xf numFmtId="38" fontId="0" fillId="0" borderId="0" xfId="0" applyNumberFormat="1">
      <alignment vertical="center"/>
    </xf>
    <xf numFmtId="0" fontId="0" fillId="0" borderId="9" xfId="0" applyBorder="1">
      <alignment vertical="center"/>
    </xf>
    <xf numFmtId="0" fontId="6" fillId="0" borderId="0" xfId="0" applyFont="1" applyAlignment="1">
      <alignment horizontal="center" vertical="center"/>
    </xf>
    <xf numFmtId="0" fontId="7" fillId="0" borderId="0" xfId="0" applyFont="1" applyAlignment="1">
      <alignment vertical="center" shrinkToFit="1"/>
    </xf>
    <xf numFmtId="0" fontId="0" fillId="0" borderId="1" xfId="0" applyBorder="1" applyAlignment="1">
      <alignment horizontal="center" vertical="center" shrinkToFit="1"/>
    </xf>
    <xf numFmtId="0" fontId="0" fillId="0" borderId="10" xfId="0" applyBorder="1" applyAlignment="1">
      <alignment horizontal="center" vertical="center" shrinkToFit="1"/>
    </xf>
    <xf numFmtId="0" fontId="8" fillId="0" borderId="0" xfId="0" applyFont="1" applyAlignment="1">
      <alignment horizontal="center" vertical="center"/>
    </xf>
    <xf numFmtId="0" fontId="8" fillId="0" borderId="0" xfId="0" applyFont="1" applyAlignment="1">
      <alignment horizontal="center" vertical="center" shrinkToFit="1"/>
    </xf>
    <xf numFmtId="0" fontId="0" fillId="0" borderId="12" xfId="0" applyBorder="1" applyAlignment="1">
      <alignment horizontal="right" vertical="center"/>
    </xf>
    <xf numFmtId="38" fontId="10" fillId="0" borderId="0" xfId="0" applyNumberFormat="1" applyFont="1">
      <alignment vertical="center"/>
    </xf>
    <xf numFmtId="0" fontId="0" fillId="0" borderId="5" xfId="0" applyBorder="1" applyAlignment="1">
      <alignment horizontal="center" vertical="center" shrinkToFit="1"/>
    </xf>
    <xf numFmtId="0" fontId="0" fillId="0" borderId="9" xfId="0" applyBorder="1" applyAlignment="1">
      <alignment horizontal="center" vertical="center" shrinkToFit="1"/>
    </xf>
    <xf numFmtId="38" fontId="0" fillId="0" borderId="1" xfId="1" applyFont="1" applyBorder="1" applyAlignment="1">
      <alignment horizontal="center" vertical="center" shrinkToFit="1"/>
    </xf>
    <xf numFmtId="178" fontId="0" fillId="0" borderId="0" xfId="0" applyNumberFormat="1">
      <alignment vertical="center"/>
    </xf>
    <xf numFmtId="0" fontId="8" fillId="0" borderId="0" xfId="0" applyFont="1">
      <alignment vertical="center"/>
    </xf>
    <xf numFmtId="176" fontId="7" fillId="0" borderId="0" xfId="0" applyNumberFormat="1" applyFont="1" applyAlignment="1">
      <alignment shrinkToFit="1"/>
    </xf>
    <xf numFmtId="0" fontId="8" fillId="0" borderId="0" xfId="0" applyFont="1" applyAlignment="1">
      <alignment horizontal="right" vertical="center"/>
    </xf>
    <xf numFmtId="0" fontId="0" fillId="0" borderId="1" xfId="0" applyBorder="1" applyAlignment="1">
      <alignment vertical="center" shrinkToFit="1"/>
    </xf>
    <xf numFmtId="38" fontId="0" fillId="0" borderId="16" xfId="0" applyNumberFormat="1" applyBorder="1" applyAlignment="1">
      <alignment vertical="center" shrinkToFit="1"/>
    </xf>
    <xf numFmtId="0" fontId="0" fillId="0" borderId="3" xfId="0" applyBorder="1" applyAlignment="1">
      <alignment horizontal="center" vertical="center"/>
    </xf>
    <xf numFmtId="0" fontId="0" fillId="0" borderId="0" xfId="0" applyAlignment="1">
      <alignment horizontal="center" vertical="center" shrinkToFit="1"/>
    </xf>
    <xf numFmtId="0" fontId="0" fillId="0" borderId="12" xfId="0" applyBorder="1">
      <alignment vertical="center"/>
    </xf>
    <xf numFmtId="0" fontId="0" fillId="0" borderId="4" xfId="0" applyBorder="1">
      <alignment vertical="center"/>
    </xf>
    <xf numFmtId="0" fontId="0" fillId="0" borderId="13" xfId="0" applyBorder="1">
      <alignment vertical="center"/>
    </xf>
    <xf numFmtId="0" fontId="0" fillId="0" borderId="14" xfId="0" applyBorder="1">
      <alignment vertical="center"/>
    </xf>
    <xf numFmtId="0" fontId="0" fillId="0" borderId="13" xfId="0" applyBorder="1" applyAlignment="1">
      <alignment horizontal="center" vertical="center"/>
    </xf>
    <xf numFmtId="0" fontId="0" fillId="0" borderId="8" xfId="0" applyBorder="1">
      <alignment vertical="center"/>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0" fillId="0" borderId="22" xfId="0" applyBorder="1" applyAlignment="1">
      <alignment horizontal="center" vertical="center" shrinkToFit="1"/>
    </xf>
    <xf numFmtId="0" fontId="0" fillId="0" borderId="3" xfId="0" applyBorder="1" applyAlignment="1">
      <alignment horizontal="center" vertical="center" shrinkToFit="1"/>
    </xf>
    <xf numFmtId="0" fontId="0" fillId="2" borderId="7" xfId="0" applyFill="1" applyBorder="1" applyAlignment="1">
      <alignment horizontal="center" vertical="center" shrinkToFit="1"/>
    </xf>
    <xf numFmtId="0" fontId="0" fillId="0" borderId="8" xfId="0" applyBorder="1" applyAlignment="1">
      <alignment horizontal="center" vertical="center"/>
    </xf>
    <xf numFmtId="0" fontId="11" fillId="0" borderId="0" xfId="0" applyFont="1">
      <alignment vertical="center"/>
    </xf>
    <xf numFmtId="38" fontId="0" fillId="0" borderId="7" xfId="0" applyNumberFormat="1" applyBorder="1">
      <alignment vertical="center"/>
    </xf>
    <xf numFmtId="38" fontId="0" fillId="0" borderId="4" xfId="0" applyNumberFormat="1" applyBorder="1">
      <alignment vertical="center"/>
    </xf>
    <xf numFmtId="38" fontId="0" fillId="0" borderId="11" xfId="0" applyNumberFormat="1" applyBorder="1" applyAlignment="1">
      <alignment vertical="center" shrinkToFit="1"/>
    </xf>
    <xf numFmtId="38" fontId="0" fillId="0" borderId="28" xfId="0" applyNumberFormat="1" applyBorder="1" applyAlignment="1">
      <alignment vertical="center" shrinkToFit="1"/>
    </xf>
    <xf numFmtId="38" fontId="0" fillId="0" borderId="29" xfId="0" applyNumberFormat="1" applyBorder="1" applyAlignment="1">
      <alignment vertical="center" shrinkToFit="1"/>
    </xf>
    <xf numFmtId="178" fontId="7" fillId="0" borderId="0" xfId="0" applyNumberFormat="1" applyFont="1" applyAlignment="1">
      <alignment horizontal="center" shrinkToFit="1"/>
    </xf>
    <xf numFmtId="0" fontId="0" fillId="0" borderId="2" xfId="0" applyBorder="1" applyAlignment="1">
      <alignment horizontal="center" vertical="center"/>
    </xf>
    <xf numFmtId="0" fontId="8" fillId="0" borderId="7" xfId="0" applyFont="1" applyBorder="1">
      <alignment vertical="center"/>
    </xf>
    <xf numFmtId="0" fontId="5" fillId="0" borderId="0" xfId="0" applyFont="1">
      <alignment vertical="center"/>
    </xf>
    <xf numFmtId="178" fontId="0" fillId="0" borderId="0" xfId="0" applyNumberFormat="1" applyAlignment="1">
      <alignment vertical="center" shrinkToFit="1"/>
    </xf>
    <xf numFmtId="0" fontId="8" fillId="0" borderId="12" xfId="0" applyFont="1" applyBorder="1">
      <alignment vertical="center"/>
    </xf>
    <xf numFmtId="0" fontId="8" fillId="0" borderId="2" xfId="0" applyFont="1" applyBorder="1" applyAlignment="1">
      <alignment horizontal="center" vertical="center" shrinkToFit="1"/>
    </xf>
    <xf numFmtId="0" fontId="8" fillId="0" borderId="3" xfId="0" applyFont="1" applyBorder="1" applyAlignment="1">
      <alignment horizontal="center" vertical="center" shrinkToFit="1"/>
    </xf>
    <xf numFmtId="178" fontId="13" fillId="0" borderId="0" xfId="0" applyNumberFormat="1" applyFont="1" applyAlignment="1">
      <alignment vertical="top" shrinkToFit="1"/>
    </xf>
    <xf numFmtId="0" fontId="6" fillId="0" borderId="0" xfId="0" applyFont="1" applyAlignment="1">
      <alignment horizontal="right" vertical="center"/>
    </xf>
    <xf numFmtId="0" fontId="0" fillId="2" borderId="1" xfId="0" applyFill="1" applyBorder="1" applyAlignment="1">
      <alignment horizontal="center" vertical="center"/>
    </xf>
    <xf numFmtId="0" fontId="18" fillId="0" borderId="0" xfId="0" applyFont="1">
      <alignment vertical="center"/>
    </xf>
    <xf numFmtId="0" fontId="19" fillId="0" borderId="0" xfId="0" applyFont="1" applyAlignment="1">
      <alignment horizontal="center" vertical="center"/>
    </xf>
    <xf numFmtId="178" fontId="4" fillId="0" borderId="0" xfId="0" applyNumberFormat="1" applyFont="1" applyAlignment="1">
      <alignment vertical="center" shrinkToFit="1"/>
    </xf>
    <xf numFmtId="0" fontId="13" fillId="0" borderId="0" xfId="0" applyFont="1" applyAlignment="1">
      <alignment vertical="center" shrinkToFit="1"/>
    </xf>
    <xf numFmtId="178" fontId="17" fillId="0" borderId="0" xfId="0" applyNumberFormat="1" applyFont="1" applyAlignment="1">
      <alignment horizontal="center" vertical="center" shrinkToFit="1"/>
    </xf>
    <xf numFmtId="0" fontId="14" fillId="0" borderId="0" xfId="0" applyFont="1" applyAlignment="1">
      <alignment horizontal="center" vertical="center" shrinkToFit="1"/>
    </xf>
    <xf numFmtId="38" fontId="0" fillId="0" borderId="1" xfId="1" applyFont="1" applyFill="1" applyBorder="1" applyAlignment="1">
      <alignment horizontal="center" vertical="center" shrinkToFit="1"/>
    </xf>
    <xf numFmtId="178" fontId="0" fillId="0" borderId="7" xfId="0" applyNumberFormat="1" applyBorder="1" applyAlignment="1">
      <alignment vertical="center" shrinkToFit="1"/>
    </xf>
    <xf numFmtId="178" fontId="0" fillId="0" borderId="4" xfId="0" applyNumberFormat="1" applyBorder="1" applyAlignment="1">
      <alignment horizontal="center" vertical="center" shrinkToFit="1"/>
    </xf>
    <xf numFmtId="178" fontId="0" fillId="0" borderId="1" xfId="0" applyNumberFormat="1" applyBorder="1" applyAlignment="1">
      <alignment vertical="center" shrinkToFit="1"/>
    </xf>
    <xf numFmtId="178" fontId="0" fillId="0" borderId="0" xfId="0" applyNumberFormat="1" applyAlignment="1">
      <alignment horizontal="center" vertical="center" shrinkToFit="1"/>
    </xf>
    <xf numFmtId="0" fontId="0" fillId="2" borderId="1" xfId="0" applyFill="1" applyBorder="1" applyAlignment="1">
      <alignment horizontal="center" vertical="center" shrinkToFit="1"/>
    </xf>
    <xf numFmtId="0" fontId="0" fillId="0" borderId="12" xfId="0" applyBorder="1" applyAlignment="1">
      <alignment horizontal="center" vertical="center"/>
    </xf>
    <xf numFmtId="0" fontId="0" fillId="0" borderId="2" xfId="0" applyBorder="1" applyAlignment="1">
      <alignment vertical="center" shrinkToFit="1"/>
    </xf>
    <xf numFmtId="0" fontId="0" fillId="2" borderId="1" xfId="0" applyFill="1" applyBorder="1" applyAlignment="1">
      <alignment vertical="center" shrinkToFit="1"/>
    </xf>
    <xf numFmtId="178" fontId="0" fillId="0" borderId="5" xfId="0" applyNumberFormat="1" applyBorder="1" applyAlignment="1">
      <alignment vertical="center" shrinkToFit="1"/>
    </xf>
    <xf numFmtId="178" fontId="0" fillId="0" borderId="8" xfId="0" applyNumberFormat="1" applyBorder="1" applyAlignment="1">
      <alignment vertical="center" shrinkToFit="1"/>
    </xf>
    <xf numFmtId="178" fontId="0" fillId="0" borderId="8" xfId="0" applyNumberFormat="1" applyBorder="1" applyAlignment="1">
      <alignment horizontal="center" vertical="center" shrinkToFit="1"/>
    </xf>
    <xf numFmtId="178" fontId="0" fillId="0" borderId="4" xfId="0" applyNumberFormat="1" applyBorder="1" applyAlignment="1">
      <alignment vertical="center" shrinkToFit="1"/>
    </xf>
    <xf numFmtId="178" fontId="0" fillId="0" borderId="9" xfId="0" applyNumberFormat="1" applyBorder="1" applyAlignment="1">
      <alignment vertical="center" shrinkToFit="1"/>
    </xf>
    <xf numFmtId="178" fontId="0" fillId="0" borderId="11" xfId="0" applyNumberFormat="1" applyBorder="1" applyAlignment="1">
      <alignment horizontal="center" vertical="center" shrinkToFit="1"/>
    </xf>
    <xf numFmtId="178" fontId="0" fillId="0" borderId="17" xfId="0" applyNumberFormat="1" applyBorder="1" applyAlignment="1">
      <alignment vertical="center" shrinkToFit="1"/>
    </xf>
    <xf numFmtId="178" fontId="0" fillId="0" borderId="18" xfId="0" applyNumberFormat="1" applyBorder="1" applyAlignment="1">
      <alignment horizontal="center" vertical="center" shrinkToFit="1"/>
    </xf>
    <xf numFmtId="178" fontId="0" fillId="0" borderId="32" xfId="0" applyNumberFormat="1" applyBorder="1" applyAlignment="1">
      <alignment vertical="center" shrinkToFit="1"/>
    </xf>
    <xf numFmtId="178" fontId="0" fillId="0" borderId="19" xfId="0" applyNumberFormat="1" applyBorder="1" applyAlignment="1">
      <alignment horizontal="center" vertical="center" shrinkToFit="1"/>
    </xf>
    <xf numFmtId="38" fontId="0" fillId="0" borderId="27" xfId="1" applyFont="1" applyBorder="1" applyAlignment="1">
      <alignment vertical="center" shrinkToFit="1"/>
    </xf>
    <xf numFmtId="0" fontId="0" fillId="0" borderId="4" xfId="0" applyBorder="1" applyAlignment="1">
      <alignment horizontal="center" vertical="center"/>
    </xf>
    <xf numFmtId="0" fontId="0" fillId="0" borderId="4" xfId="0" applyBorder="1" applyAlignment="1">
      <alignment horizontal="center" vertical="center" shrinkToFit="1"/>
    </xf>
    <xf numFmtId="38" fontId="0" fillId="0" borderId="3" xfId="0" applyNumberFormat="1" applyBorder="1">
      <alignment vertical="center"/>
    </xf>
    <xf numFmtId="38" fontId="0" fillId="0" borderId="4" xfId="1" applyFont="1" applyBorder="1" applyAlignment="1">
      <alignment vertical="center" shrinkToFit="1"/>
    </xf>
    <xf numFmtId="38" fontId="0" fillId="0" borderId="7" xfId="1" applyFont="1" applyBorder="1" applyAlignment="1">
      <alignment vertical="center" shrinkToFit="1"/>
    </xf>
    <xf numFmtId="38" fontId="0" fillId="4" borderId="38" xfId="1" applyFont="1" applyFill="1" applyBorder="1" applyAlignment="1">
      <alignment horizontal="center" vertical="center" shrinkToFit="1"/>
    </xf>
    <xf numFmtId="38" fontId="0" fillId="4" borderId="35" xfId="1" applyFont="1" applyFill="1" applyBorder="1" applyAlignment="1">
      <alignment horizontal="center" vertical="center" shrinkToFit="1"/>
    </xf>
    <xf numFmtId="38" fontId="0" fillId="4" borderId="36" xfId="1" applyFont="1" applyFill="1" applyBorder="1" applyAlignment="1">
      <alignment horizontal="center" vertical="center" shrinkToFit="1"/>
    </xf>
    <xf numFmtId="38" fontId="0" fillId="4" borderId="40" xfId="1" applyFont="1" applyFill="1" applyBorder="1" applyAlignment="1">
      <alignment horizontal="center" vertical="center" shrinkToFit="1"/>
    </xf>
    <xf numFmtId="38" fontId="0" fillId="0" borderId="1" xfId="0" applyNumberFormat="1" applyBorder="1" applyAlignment="1">
      <alignment vertical="center" shrinkToFit="1"/>
    </xf>
    <xf numFmtId="0" fontId="0" fillId="0" borderId="7" xfId="0" applyBorder="1" applyAlignment="1">
      <alignment horizontal="center" vertical="center"/>
    </xf>
    <xf numFmtId="38" fontId="0" fillId="0" borderId="1" xfId="0" applyNumberFormat="1" applyBorder="1" applyAlignment="1">
      <alignment horizontal="center" vertical="center" shrinkToFit="1"/>
    </xf>
    <xf numFmtId="38" fontId="0" fillId="0" borderId="20" xfId="0" applyNumberFormat="1" applyBorder="1" applyAlignment="1">
      <alignment vertical="center" shrinkToFit="1"/>
    </xf>
    <xf numFmtId="38" fontId="0" fillId="0" borderId="0" xfId="1" applyFont="1" applyFill="1">
      <alignment vertical="center"/>
    </xf>
    <xf numFmtId="176" fontId="12" fillId="0" borderId="0" xfId="1" applyNumberFormat="1" applyFont="1" applyFill="1" applyBorder="1" applyAlignment="1">
      <alignment vertical="center" shrinkToFit="1"/>
    </xf>
    <xf numFmtId="0" fontId="8" fillId="0" borderId="0" xfId="0" applyFont="1" applyAlignment="1">
      <alignment horizontal="left" vertical="center"/>
    </xf>
    <xf numFmtId="0" fontId="6" fillId="0" borderId="0" xfId="0" applyFont="1" applyAlignment="1">
      <alignment horizontal="left" vertical="center"/>
    </xf>
    <xf numFmtId="178" fontId="0" fillId="5" borderId="11" xfId="0" applyNumberFormat="1" applyFill="1" applyBorder="1" applyAlignment="1">
      <alignment horizontal="center" vertical="center" shrinkToFit="1"/>
    </xf>
    <xf numFmtId="0" fontId="0" fillId="5" borderId="0" xfId="0" applyFill="1">
      <alignment vertical="center"/>
    </xf>
    <xf numFmtId="0" fontId="8" fillId="0" borderId="1" xfId="0" applyFont="1" applyBorder="1" applyAlignment="1">
      <alignment horizontal="center" vertical="center" shrinkToFit="1"/>
    </xf>
    <xf numFmtId="0" fontId="22" fillId="0" borderId="0" xfId="0" applyFont="1">
      <alignment vertical="center"/>
    </xf>
    <xf numFmtId="178" fontId="0" fillId="4" borderId="11" xfId="0" applyNumberFormat="1" applyFill="1" applyBorder="1" applyAlignment="1">
      <alignment horizontal="center" vertical="center" shrinkToFit="1"/>
    </xf>
    <xf numFmtId="0" fontId="22" fillId="0" borderId="0" xfId="0" applyFont="1" applyAlignment="1">
      <alignment horizontal="left" vertical="center"/>
    </xf>
    <xf numFmtId="0" fontId="0" fillId="0" borderId="1" xfId="0" applyBorder="1" applyAlignment="1" applyProtection="1">
      <alignment horizontal="center" shrinkToFit="1"/>
      <protection locked="0"/>
    </xf>
    <xf numFmtId="0" fontId="16" fillId="0" borderId="0" xfId="0" applyFont="1" applyAlignment="1">
      <alignment horizontal="left" vertical="center" shrinkToFit="1"/>
    </xf>
    <xf numFmtId="57" fontId="0" fillId="2" borderId="1" xfId="0" applyNumberFormat="1" applyFill="1" applyBorder="1" applyAlignment="1">
      <alignment horizontal="center" vertical="center"/>
    </xf>
    <xf numFmtId="0" fontId="0" fillId="0" borderId="10" xfId="0" applyBorder="1" applyAlignment="1">
      <alignment vertical="center" shrinkToFit="1"/>
    </xf>
    <xf numFmtId="0" fontId="0" fillId="0" borderId="8" xfId="0" applyBorder="1" applyAlignment="1">
      <alignment vertical="center" shrinkToFit="1"/>
    </xf>
    <xf numFmtId="0" fontId="0" fillId="0" borderId="13" xfId="0" applyBorder="1" applyAlignment="1">
      <alignment horizontal="right" vertical="center"/>
    </xf>
    <xf numFmtId="57" fontId="0" fillId="0" borderId="1" xfId="0" applyNumberFormat="1" applyBorder="1" applyAlignment="1">
      <alignment horizontal="center" vertical="center" shrinkToFit="1"/>
    </xf>
    <xf numFmtId="0" fontId="0" fillId="0" borderId="3" xfId="0" applyBorder="1">
      <alignment vertical="center"/>
    </xf>
    <xf numFmtId="0" fontId="0" fillId="0" borderId="2" xfId="0" applyBorder="1">
      <alignment vertical="center"/>
    </xf>
    <xf numFmtId="0" fontId="0" fillId="6" borderId="0" xfId="0" applyFill="1">
      <alignment vertical="center"/>
    </xf>
    <xf numFmtId="0" fontId="0" fillId="0" borderId="13" xfId="0" applyBorder="1" applyAlignment="1">
      <alignment horizontal="right" vertical="center" shrinkToFit="1"/>
    </xf>
    <xf numFmtId="0" fontId="0" fillId="0" borderId="0" xfId="0" quotePrefix="1" applyAlignment="1">
      <alignment horizontal="left" vertical="center"/>
    </xf>
    <xf numFmtId="0" fontId="0" fillId="0" borderId="0" xfId="1" applyNumberFormat="1" applyFont="1" applyBorder="1" applyAlignment="1">
      <alignment vertical="center"/>
    </xf>
    <xf numFmtId="178" fontId="9" fillId="0" borderId="0" xfId="0" applyNumberFormat="1" applyFont="1" applyAlignment="1">
      <alignment vertical="center" shrinkToFit="1"/>
    </xf>
    <xf numFmtId="178" fontId="13" fillId="0" borderId="12" xfId="0" applyNumberFormat="1" applyFont="1" applyBorder="1" applyAlignment="1">
      <alignment vertical="top" shrinkToFit="1"/>
    </xf>
    <xf numFmtId="0" fontId="0" fillId="0" borderId="30" xfId="0" applyBorder="1" applyAlignment="1" applyProtection="1">
      <alignment horizontal="center" shrinkToFit="1"/>
      <protection locked="0"/>
    </xf>
    <xf numFmtId="0" fontId="0" fillId="0" borderId="44" xfId="0" applyBorder="1" applyAlignment="1">
      <alignment horizontal="center" vertical="center"/>
    </xf>
    <xf numFmtId="0" fontId="0" fillId="0" borderId="41" xfId="0" applyBorder="1" applyAlignment="1">
      <alignment horizontal="center" vertical="center"/>
    </xf>
    <xf numFmtId="38" fontId="0" fillId="0" borderId="43" xfId="1" applyFont="1" applyFill="1" applyBorder="1" applyAlignment="1" applyProtection="1">
      <alignment horizontal="center" vertical="center" shrinkToFit="1"/>
      <protection locked="0"/>
    </xf>
    <xf numFmtId="57" fontId="0" fillId="0" borderId="31" xfId="0" applyNumberFormat="1" applyBorder="1" applyAlignment="1" applyProtection="1">
      <alignment horizontal="center" shrinkToFit="1"/>
      <protection locked="0"/>
    </xf>
    <xf numFmtId="38" fontId="0" fillId="0" borderId="0" xfId="1" applyFont="1" applyBorder="1" applyAlignment="1">
      <alignment horizontal="center" vertical="center"/>
    </xf>
    <xf numFmtId="0" fontId="0" fillId="0" borderId="2" xfId="0" applyBorder="1" applyAlignment="1">
      <alignment horizontal="center" vertical="center" shrinkToFit="1"/>
    </xf>
    <xf numFmtId="0" fontId="8" fillId="0" borderId="4" xfId="0" applyFont="1" applyBorder="1" applyAlignment="1">
      <alignment horizontal="right" vertical="center"/>
    </xf>
    <xf numFmtId="0" fontId="26" fillId="0" borderId="0" xfId="0" applyFont="1">
      <alignment vertical="center"/>
    </xf>
    <xf numFmtId="0" fontId="0" fillId="0" borderId="15" xfId="0" applyBorder="1">
      <alignment vertical="center"/>
    </xf>
    <xf numFmtId="178" fontId="16" fillId="0" borderId="0" xfId="0" applyNumberFormat="1" applyFont="1" applyAlignment="1">
      <alignment horizontal="center" vertical="center" shrinkToFit="1"/>
    </xf>
    <xf numFmtId="38" fontId="6" fillId="0" borderId="11" xfId="0" applyNumberFormat="1" applyFont="1" applyBorder="1" applyAlignment="1">
      <alignment horizontal="center" vertical="center" shrinkToFit="1"/>
    </xf>
    <xf numFmtId="0" fontId="25" fillId="0" borderId="0" xfId="0" applyFont="1" applyAlignment="1">
      <alignment horizontal="center" vertical="center" wrapText="1"/>
    </xf>
    <xf numFmtId="0" fontId="6" fillId="0" borderId="1" xfId="0" applyFont="1" applyBorder="1" applyAlignment="1">
      <alignment horizontal="center" vertical="center" shrinkToFit="1"/>
    </xf>
    <xf numFmtId="0" fontId="0" fillId="0" borderId="5" xfId="0" applyBorder="1" applyAlignment="1">
      <alignment horizontal="right" vertical="center" shrinkToFit="1"/>
    </xf>
    <xf numFmtId="0" fontId="0" fillId="0" borderId="9" xfId="0" applyBorder="1" applyAlignment="1">
      <alignment horizontal="right" vertical="center" shrinkToFit="1"/>
    </xf>
    <xf numFmtId="0" fontId="0" fillId="0" borderId="13" xfId="0" applyBorder="1" applyAlignment="1">
      <alignment vertical="center" shrinkToFit="1"/>
    </xf>
    <xf numFmtId="0" fontId="22" fillId="0" borderId="13" xfId="0" applyFont="1" applyBorder="1" applyAlignment="1">
      <alignment horizontal="right" vertical="center" shrinkToFit="1"/>
    </xf>
    <xf numFmtId="0" fontId="0" fillId="0" borderId="1" xfId="0" applyBorder="1" applyAlignment="1">
      <alignment horizontal="right" vertical="center"/>
    </xf>
    <xf numFmtId="0" fontId="0" fillId="0" borderId="1" xfId="0" applyBorder="1" applyAlignment="1">
      <alignment horizontal="right" vertical="center" shrinkToFit="1"/>
    </xf>
    <xf numFmtId="0" fontId="8" fillId="0" borderId="7" xfId="0" applyFont="1" applyBorder="1" applyAlignment="1">
      <alignment horizontal="right" vertical="center"/>
    </xf>
    <xf numFmtId="0" fontId="8" fillId="0" borderId="4" xfId="0" applyFont="1" applyBorder="1">
      <alignment vertical="center"/>
    </xf>
    <xf numFmtId="0" fontId="8" fillId="0" borderId="1" xfId="0" applyFont="1" applyBorder="1" applyAlignment="1">
      <alignment horizontal="center" vertical="center"/>
    </xf>
    <xf numFmtId="0" fontId="6" fillId="0" borderId="7" xfId="0" applyFont="1" applyBorder="1">
      <alignment vertical="center"/>
    </xf>
    <xf numFmtId="0" fontId="6" fillId="0" borderId="1" xfId="0" applyFont="1" applyBorder="1" applyAlignment="1">
      <alignment horizontal="center" vertical="center"/>
    </xf>
    <xf numFmtId="0" fontId="6" fillId="0" borderId="5" xfId="0" applyFont="1" applyBorder="1" applyAlignment="1">
      <alignment horizontal="center" vertical="center" shrinkToFit="1"/>
    </xf>
    <xf numFmtId="38" fontId="6" fillId="0" borderId="8" xfId="0" applyNumberFormat="1" applyFont="1" applyBorder="1" applyAlignment="1">
      <alignment horizontal="center" vertical="center" shrinkToFit="1"/>
    </xf>
    <xf numFmtId="38" fontId="6" fillId="0" borderId="6" xfId="0" applyNumberFormat="1" applyFont="1" applyBorder="1" applyAlignment="1">
      <alignment horizontal="center" vertical="center" shrinkToFit="1"/>
    </xf>
    <xf numFmtId="57" fontId="0" fillId="0" borderId="1" xfId="0" applyNumberFormat="1" applyBorder="1" applyAlignment="1">
      <alignment horizontal="center" vertical="center"/>
    </xf>
    <xf numFmtId="0" fontId="0" fillId="0" borderId="5" xfId="0" applyBorder="1" applyAlignment="1">
      <alignment horizontal="right" vertical="center"/>
    </xf>
    <xf numFmtId="38" fontId="0" fillId="0" borderId="6" xfId="1" applyFont="1" applyFill="1" applyBorder="1">
      <alignment vertical="center"/>
    </xf>
    <xf numFmtId="0" fontId="0" fillId="0" borderId="9" xfId="0" applyBorder="1" applyAlignment="1">
      <alignment horizontal="right" vertical="center"/>
    </xf>
    <xf numFmtId="38" fontId="0" fillId="0" borderId="11" xfId="0" applyNumberFormat="1" applyBorder="1">
      <alignment vertical="center"/>
    </xf>
    <xf numFmtId="38" fontId="0" fillId="0" borderId="4" xfId="1" applyFont="1" applyFill="1" applyBorder="1">
      <alignment vertical="center"/>
    </xf>
    <xf numFmtId="0" fontId="0" fillId="0" borderId="14" xfId="0" applyBorder="1" applyAlignment="1">
      <alignment vertical="center" shrinkToFit="1"/>
    </xf>
    <xf numFmtId="0" fontId="0" fillId="0" borderId="11" xfId="0" applyBorder="1" applyAlignment="1">
      <alignment vertical="center" shrinkToFit="1"/>
    </xf>
    <xf numFmtId="0" fontId="16" fillId="0" borderId="5" xfId="0" applyFont="1" applyBorder="1" applyAlignment="1">
      <alignment horizontal="right" vertical="center" shrinkToFit="1"/>
    </xf>
    <xf numFmtId="0" fontId="6" fillId="0" borderId="0" xfId="0" applyFont="1" applyAlignment="1">
      <alignment horizontal="center" vertical="center" shrinkToFit="1"/>
    </xf>
    <xf numFmtId="38" fontId="6" fillId="0" borderId="0" xfId="0" applyNumberFormat="1" applyFont="1" applyAlignment="1">
      <alignment horizontal="center" vertical="center" shrinkToFit="1"/>
    </xf>
    <xf numFmtId="0" fontId="8" fillId="6" borderId="0" xfId="0" applyFont="1" applyFill="1" applyAlignment="1">
      <alignment horizontal="center" vertical="center"/>
    </xf>
    <xf numFmtId="0" fontId="6" fillId="6" borderId="0" xfId="0" applyFont="1" applyFill="1" applyAlignment="1">
      <alignment horizontal="center" vertical="center"/>
    </xf>
    <xf numFmtId="0" fontId="6" fillId="6" borderId="0" xfId="0" applyFont="1" applyFill="1" applyAlignment="1">
      <alignment horizontal="center" vertical="center" shrinkToFit="1"/>
    </xf>
    <xf numFmtId="38" fontId="6" fillId="6" borderId="0" xfId="0" applyNumberFormat="1" applyFont="1" applyFill="1" applyAlignment="1">
      <alignment horizontal="center" vertical="center" shrinkToFit="1"/>
    </xf>
    <xf numFmtId="0" fontId="13" fillId="0" borderId="13" xfId="0" applyFont="1" applyBorder="1" applyAlignment="1">
      <alignment horizontal="center" vertical="center"/>
    </xf>
    <xf numFmtId="38" fontId="0" fillId="0" borderId="14" xfId="1" applyFont="1" applyBorder="1">
      <alignment vertical="center"/>
    </xf>
    <xf numFmtId="38" fontId="0" fillId="0" borderId="14" xfId="0" applyNumberFormat="1" applyBorder="1">
      <alignment vertical="center"/>
    </xf>
    <xf numFmtId="57" fontId="0" fillId="0" borderId="4" xfId="0" applyNumberFormat="1" applyBorder="1">
      <alignment vertical="center"/>
    </xf>
    <xf numFmtId="38" fontId="0" fillId="0" borderId="0" xfId="1" applyFont="1" applyAlignment="1">
      <alignment vertical="center" shrinkToFit="1"/>
    </xf>
    <xf numFmtId="38" fontId="0" fillId="0" borderId="2" xfId="1" applyFont="1" applyBorder="1" applyAlignment="1">
      <alignment vertical="center" shrinkToFit="1"/>
    </xf>
    <xf numFmtId="38" fontId="0" fillId="0" borderId="15" xfId="1" applyFont="1" applyBorder="1" applyAlignment="1">
      <alignment vertical="center" shrinkToFit="1"/>
    </xf>
    <xf numFmtId="38" fontId="0" fillId="0" borderId="3" xfId="1" applyFont="1" applyBorder="1" applyAlignment="1">
      <alignment vertical="center" shrinkToFit="1"/>
    </xf>
    <xf numFmtId="0" fontId="0" fillId="0" borderId="3" xfId="0" applyBorder="1" applyAlignment="1">
      <alignment horizontal="right" vertical="center" shrinkToFit="1"/>
    </xf>
    <xf numFmtId="38" fontId="0" fillId="0" borderId="10" xfId="1" applyFont="1" applyBorder="1" applyAlignment="1">
      <alignment vertical="center" shrinkToFit="1"/>
    </xf>
    <xf numFmtId="0" fontId="0" fillId="4" borderId="1" xfId="0" applyFill="1" applyBorder="1" applyAlignment="1">
      <alignment horizontal="center" vertical="center" shrinkToFit="1"/>
    </xf>
    <xf numFmtId="0" fontId="0" fillId="4" borderId="4" xfId="0" applyFill="1" applyBorder="1" applyAlignment="1">
      <alignment horizontal="center" vertical="center" shrinkToFit="1"/>
    </xf>
    <xf numFmtId="0" fontId="0" fillId="0" borderId="9" xfId="0" applyBorder="1" applyAlignment="1">
      <alignment vertical="center" shrinkToFit="1"/>
    </xf>
    <xf numFmtId="38" fontId="0" fillId="0" borderId="1" xfId="1" applyFont="1" applyFill="1" applyBorder="1" applyAlignment="1">
      <alignment vertical="center" shrinkToFit="1"/>
    </xf>
    <xf numFmtId="0" fontId="0" fillId="0" borderId="15" xfId="0" applyBorder="1" applyAlignment="1">
      <alignment vertical="center" shrinkToFit="1"/>
    </xf>
    <xf numFmtId="0" fontId="0" fillId="4" borderId="3" xfId="0" applyFill="1" applyBorder="1" applyAlignment="1">
      <alignment horizontal="right" vertical="center" shrinkToFit="1"/>
    </xf>
    <xf numFmtId="0" fontId="0" fillId="4" borderId="1" xfId="0" applyFill="1" applyBorder="1" applyAlignment="1">
      <alignment horizontal="right" vertical="center" shrinkToFit="1"/>
    </xf>
    <xf numFmtId="38" fontId="0" fillId="0" borderId="5" xfId="1" applyFont="1" applyBorder="1" applyAlignment="1">
      <alignment vertical="center" shrinkToFit="1"/>
    </xf>
    <xf numFmtId="38" fontId="0" fillId="0" borderId="13" xfId="1" applyFont="1" applyBorder="1" applyAlignment="1">
      <alignment vertical="center" shrinkToFit="1"/>
    </xf>
    <xf numFmtId="38" fontId="0" fillId="0" borderId="9" xfId="1" applyFont="1" applyBorder="1" applyAlignment="1">
      <alignment vertical="center" shrinkToFit="1"/>
    </xf>
    <xf numFmtId="38" fontId="0" fillId="7" borderId="1" xfId="1" applyFont="1" applyFill="1" applyBorder="1" applyAlignment="1">
      <alignment horizontal="center" vertical="center" shrinkToFit="1"/>
    </xf>
    <xf numFmtId="0" fontId="0" fillId="7" borderId="1" xfId="0" applyFill="1" applyBorder="1" applyAlignment="1">
      <alignment horizontal="center" vertical="center" shrinkToFit="1"/>
    </xf>
    <xf numFmtId="0" fontId="0" fillId="7" borderId="6" xfId="0" applyFill="1" applyBorder="1" applyAlignment="1">
      <alignment horizontal="center" vertical="center" shrinkToFit="1"/>
    </xf>
    <xf numFmtId="0" fontId="0" fillId="7" borderId="14" xfId="0" applyFill="1" applyBorder="1" applyAlignment="1">
      <alignment horizontal="center" vertical="center" shrinkToFit="1"/>
    </xf>
    <xf numFmtId="0" fontId="0" fillId="7" borderId="11" xfId="0" applyFill="1" applyBorder="1" applyAlignment="1">
      <alignment horizontal="center" vertical="center" shrinkToFit="1"/>
    </xf>
    <xf numFmtId="38" fontId="0" fillId="0" borderId="0" xfId="1" applyFont="1" applyAlignment="1">
      <alignment horizontal="center" vertical="center" shrinkToFit="1"/>
    </xf>
    <xf numFmtId="38" fontId="0" fillId="0" borderId="1" xfId="1" quotePrefix="1" applyFont="1" applyFill="1" applyBorder="1" applyAlignment="1">
      <alignment horizontal="right" vertical="center" shrinkToFit="1"/>
    </xf>
    <xf numFmtId="0" fontId="0" fillId="0" borderId="1" xfId="0" applyBorder="1" applyAlignment="1">
      <alignment horizontal="left" vertical="center"/>
    </xf>
    <xf numFmtId="0" fontId="0" fillId="0" borderId="15" xfId="0" applyBorder="1" applyAlignment="1">
      <alignment horizontal="center" vertical="center"/>
    </xf>
    <xf numFmtId="57" fontId="0" fillId="0" borderId="3" xfId="0" applyNumberFormat="1" applyBorder="1">
      <alignment vertical="center"/>
    </xf>
    <xf numFmtId="179" fontId="0" fillId="0" borderId="1" xfId="0" applyNumberFormat="1" applyBorder="1" applyAlignment="1">
      <alignment horizontal="left" vertical="center" shrinkToFit="1"/>
    </xf>
    <xf numFmtId="38" fontId="0" fillId="8" borderId="1" xfId="1" applyFont="1" applyFill="1" applyBorder="1" applyAlignment="1">
      <alignment horizontal="center" vertical="center" shrinkToFit="1"/>
    </xf>
    <xf numFmtId="38" fontId="0" fillId="0" borderId="1" xfId="1" applyFont="1" applyBorder="1" applyAlignment="1">
      <alignment horizontal="right" vertical="center" shrinkToFit="1"/>
    </xf>
    <xf numFmtId="0" fontId="0" fillId="0" borderId="6" xfId="0" applyBorder="1" applyAlignment="1">
      <alignment horizontal="left" vertical="center" wrapText="1"/>
    </xf>
    <xf numFmtId="0" fontId="22" fillId="0" borderId="13" xfId="0" applyFont="1" applyBorder="1" applyAlignment="1">
      <alignment horizontal="right" vertical="center" wrapText="1" shrinkToFit="1"/>
    </xf>
    <xf numFmtId="0" fontId="0" fillId="0" borderId="46" xfId="0" applyBorder="1" applyAlignment="1">
      <alignment horizontal="center" vertical="center" shrinkToFit="1"/>
    </xf>
    <xf numFmtId="0" fontId="0" fillId="0" borderId="10" xfId="0" applyBorder="1" applyAlignment="1">
      <alignment horizontal="left" vertical="center"/>
    </xf>
    <xf numFmtId="38" fontId="0" fillId="0" borderId="4" xfId="0" applyNumberFormat="1" applyBorder="1" applyAlignment="1">
      <alignment horizontal="center" vertical="center" shrinkToFit="1"/>
    </xf>
    <xf numFmtId="38" fontId="0" fillId="0" borderId="4" xfId="1" applyFont="1" applyFill="1" applyBorder="1" applyAlignment="1">
      <alignment horizontal="center" vertical="center" shrinkToFit="1"/>
    </xf>
    <xf numFmtId="0" fontId="28" fillId="0" borderId="0" xfId="0" applyFont="1">
      <alignment vertical="center"/>
    </xf>
    <xf numFmtId="0" fontId="3" fillId="0" borderId="0" xfId="0" applyFont="1">
      <alignment vertical="center"/>
    </xf>
    <xf numFmtId="0" fontId="3" fillId="0" borderId="0" xfId="0" applyFont="1" applyAlignment="1">
      <alignment vertical="center" shrinkToFit="1"/>
    </xf>
    <xf numFmtId="0" fontId="3" fillId="0" borderId="1" xfId="0" applyFont="1" applyBorder="1">
      <alignment vertical="center"/>
    </xf>
    <xf numFmtId="0" fontId="3" fillId="0" borderId="5" xfId="0" applyFont="1" applyBorder="1">
      <alignment vertical="center"/>
    </xf>
    <xf numFmtId="0" fontId="3" fillId="0" borderId="6" xfId="0" applyFont="1" applyBorder="1">
      <alignment vertical="center"/>
    </xf>
    <xf numFmtId="178" fontId="30" fillId="0" borderId="0" xfId="0" applyNumberFormat="1" applyFont="1" applyAlignment="1">
      <alignment horizontal="center" vertical="top" wrapText="1"/>
    </xf>
    <xf numFmtId="178" fontId="30" fillId="0" borderId="0" xfId="0" applyNumberFormat="1" applyFont="1" applyAlignment="1">
      <alignment horizontal="right" vertical="center" shrinkToFit="1"/>
    </xf>
    <xf numFmtId="0" fontId="30" fillId="0" borderId="0" xfId="0" applyFont="1" applyAlignment="1">
      <alignment horizontal="center" vertical="center" shrinkToFit="1"/>
    </xf>
    <xf numFmtId="0" fontId="3" fillId="0" borderId="13" xfId="0" applyFont="1" applyBorder="1">
      <alignment vertical="center"/>
    </xf>
    <xf numFmtId="0" fontId="3" fillId="0" borderId="14" xfId="0" applyFont="1" applyBorder="1">
      <alignment vertical="center"/>
    </xf>
    <xf numFmtId="178" fontId="31" fillId="0" borderId="0" xfId="0" applyNumberFormat="1" applyFont="1" applyAlignment="1">
      <alignment horizontal="center" vertical="center" shrinkToFit="1"/>
    </xf>
    <xf numFmtId="176" fontId="30" fillId="0" borderId="0" xfId="0" applyNumberFormat="1" applyFont="1" applyAlignment="1">
      <alignment shrinkToFit="1"/>
    </xf>
    <xf numFmtId="178" fontId="31" fillId="0" borderId="0" xfId="0" applyNumberFormat="1" applyFont="1" applyAlignment="1">
      <alignment horizontal="center" shrinkToFit="1"/>
    </xf>
    <xf numFmtId="0" fontId="30" fillId="0" borderId="3" xfId="0" applyFont="1" applyBorder="1" applyAlignment="1">
      <alignment horizontal="center" vertical="center"/>
    </xf>
    <xf numFmtId="0" fontId="3" fillId="0" borderId="9" xfId="0" applyFont="1" applyBorder="1">
      <alignment vertical="center"/>
    </xf>
    <xf numFmtId="0" fontId="3" fillId="0" borderId="11" xfId="0" applyFont="1" applyBorder="1">
      <alignment vertical="center"/>
    </xf>
    <xf numFmtId="0" fontId="30" fillId="0" borderId="0" xfId="0" applyFont="1">
      <alignment vertical="center"/>
    </xf>
    <xf numFmtId="0" fontId="32" fillId="0" borderId="0" xfId="0" applyFont="1">
      <alignment vertical="center"/>
    </xf>
    <xf numFmtId="176" fontId="32" fillId="0" borderId="0" xfId="0" applyNumberFormat="1" applyFont="1" applyAlignment="1">
      <alignment horizontal="right" shrinkToFit="1"/>
    </xf>
    <xf numFmtId="176" fontId="32" fillId="0" borderId="0" xfId="0" applyNumberFormat="1" applyFont="1">
      <alignment vertical="center"/>
    </xf>
    <xf numFmtId="0" fontId="30" fillId="0" borderId="0" xfId="0" applyFont="1" applyAlignment="1">
      <alignment horizontal="right" vertical="center"/>
    </xf>
    <xf numFmtId="176" fontId="32" fillId="0" borderId="0" xfId="0" applyNumberFormat="1" applyFont="1" applyAlignment="1">
      <alignment horizontal="right" vertical="center"/>
    </xf>
    <xf numFmtId="0" fontId="3" fillId="0" borderId="0" xfId="0" applyFont="1" applyAlignment="1">
      <alignment horizontal="center"/>
    </xf>
    <xf numFmtId="176" fontId="32" fillId="0" borderId="0" xfId="0" applyNumberFormat="1" applyFont="1" applyAlignment="1">
      <alignment horizontal="right"/>
    </xf>
    <xf numFmtId="0" fontId="33" fillId="0" borderId="0" xfId="0" applyFont="1" applyAlignment="1">
      <alignment horizontal="right"/>
    </xf>
    <xf numFmtId="0" fontId="3" fillId="0" borderId="0" xfId="0" applyFont="1" applyAlignment="1"/>
    <xf numFmtId="176" fontId="32" fillId="0" borderId="0" xfId="0" applyNumberFormat="1" applyFont="1" applyAlignment="1"/>
    <xf numFmtId="176" fontId="32" fillId="0" borderId="0" xfId="0" applyNumberFormat="1" applyFont="1" applyAlignment="1">
      <alignment shrinkToFit="1"/>
    </xf>
    <xf numFmtId="0" fontId="3" fillId="0" borderId="0" xfId="0" applyFont="1" applyAlignment="1">
      <alignment horizontal="center" vertical="center"/>
    </xf>
    <xf numFmtId="0" fontId="33" fillId="0" borderId="0" xfId="0" applyFont="1" applyAlignment="1">
      <alignment horizontal="right" vertical="center"/>
    </xf>
    <xf numFmtId="176" fontId="31" fillId="0" borderId="0" xfId="0" applyNumberFormat="1" applyFont="1" applyAlignment="1">
      <alignment shrinkToFit="1"/>
    </xf>
    <xf numFmtId="0" fontId="31" fillId="0" borderId="0" xfId="0" applyFont="1">
      <alignment vertical="center"/>
    </xf>
    <xf numFmtId="0" fontId="32" fillId="0" borderId="5" xfId="0" applyFont="1" applyBorder="1">
      <alignment vertical="center"/>
    </xf>
    <xf numFmtId="0" fontId="32" fillId="0" borderId="6" xfId="0" applyFont="1" applyBorder="1">
      <alignment vertical="center"/>
    </xf>
    <xf numFmtId="178" fontId="30" fillId="0" borderId="0" xfId="0" applyNumberFormat="1" applyFont="1" applyAlignment="1">
      <alignment shrinkToFit="1"/>
    </xf>
    <xf numFmtId="0" fontId="32" fillId="0" borderId="13" xfId="0" applyFont="1" applyBorder="1">
      <alignment vertical="center"/>
    </xf>
    <xf numFmtId="0" fontId="32" fillId="0" borderId="14" xfId="0" applyFont="1" applyBorder="1">
      <alignment vertical="center"/>
    </xf>
    <xf numFmtId="0" fontId="32" fillId="0" borderId="0" xfId="0" applyFont="1" applyAlignment="1">
      <alignment horizontal="right" vertical="center"/>
    </xf>
    <xf numFmtId="176" fontId="30" fillId="0" borderId="0" xfId="0" applyNumberFormat="1" applyFont="1" applyAlignment="1">
      <alignment horizontal="right" shrinkToFit="1"/>
    </xf>
    <xf numFmtId="0" fontId="32" fillId="0" borderId="9" xfId="0" applyFont="1" applyBorder="1">
      <alignment vertical="center"/>
    </xf>
    <xf numFmtId="0" fontId="32" fillId="0" borderId="11" xfId="0" applyFont="1" applyBorder="1">
      <alignment vertical="center"/>
    </xf>
    <xf numFmtId="178" fontId="30" fillId="0" borderId="0" xfId="0" applyNumberFormat="1" applyFont="1" applyAlignment="1">
      <alignment horizontal="right" shrinkToFit="1"/>
    </xf>
    <xf numFmtId="178" fontId="32" fillId="0" borderId="0" xfId="0" applyNumberFormat="1" applyFont="1" applyAlignment="1">
      <alignment horizontal="right" vertical="center" shrinkToFit="1"/>
    </xf>
    <xf numFmtId="178" fontId="31" fillId="0" borderId="0" xfId="0" applyNumberFormat="1" applyFont="1" applyAlignment="1">
      <alignment shrinkToFit="1"/>
    </xf>
    <xf numFmtId="176" fontId="32" fillId="0" borderId="0" xfId="0" applyNumberFormat="1" applyFont="1" applyAlignment="1">
      <alignment horizontal="right" vertical="center" shrinkToFit="1"/>
    </xf>
    <xf numFmtId="0" fontId="3" fillId="0" borderId="0" xfId="0" applyFont="1" applyAlignment="1">
      <alignment shrinkToFit="1"/>
    </xf>
    <xf numFmtId="38" fontId="3" fillId="0" borderId="0" xfId="0" applyNumberFormat="1" applyFont="1" applyAlignment="1">
      <alignment shrinkToFit="1"/>
    </xf>
    <xf numFmtId="0" fontId="30" fillId="0" borderId="13" xfId="0" applyFont="1" applyBorder="1">
      <alignment vertical="center"/>
    </xf>
    <xf numFmtId="178" fontId="3" fillId="0" borderId="0" xfId="0" applyNumberFormat="1" applyFont="1" applyAlignment="1">
      <alignment vertical="center" shrinkToFit="1"/>
    </xf>
    <xf numFmtId="0" fontId="32" fillId="0" borderId="0" xfId="0" applyFont="1" applyAlignment="1">
      <alignment horizontal="right" vertical="center" shrinkToFit="1"/>
    </xf>
    <xf numFmtId="178" fontId="32" fillId="0" borderId="0" xfId="0" applyNumberFormat="1" applyFont="1" applyAlignment="1">
      <alignment horizontal="right" shrinkToFit="1"/>
    </xf>
    <xf numFmtId="179" fontId="32" fillId="0" borderId="0" xfId="0" applyNumberFormat="1" applyFont="1" applyAlignment="1">
      <alignment horizontal="right" shrinkToFit="1"/>
    </xf>
    <xf numFmtId="176" fontId="31" fillId="0" borderId="0" xfId="0" applyNumberFormat="1" applyFont="1" applyAlignment="1">
      <alignment vertical="center" shrinkToFit="1"/>
    </xf>
    <xf numFmtId="0" fontId="19" fillId="0" borderId="5" xfId="0" applyFont="1" applyBorder="1">
      <alignment vertical="center"/>
    </xf>
    <xf numFmtId="0" fontId="19" fillId="0" borderId="8" xfId="0" applyFont="1" applyBorder="1">
      <alignment vertical="center"/>
    </xf>
    <xf numFmtId="178" fontId="15" fillId="0" borderId="8" xfId="0" applyNumberFormat="1" applyFont="1" applyBorder="1" applyAlignment="1">
      <alignment shrinkToFit="1"/>
    </xf>
    <xf numFmtId="0" fontId="19" fillId="0" borderId="6" xfId="0" applyFont="1" applyBorder="1">
      <alignment vertical="center"/>
    </xf>
    <xf numFmtId="0" fontId="19" fillId="0" borderId="0" xfId="0" applyFont="1">
      <alignment vertical="center"/>
    </xf>
    <xf numFmtId="0" fontId="19" fillId="0" borderId="13" xfId="0" applyFont="1" applyBorder="1">
      <alignment vertical="center"/>
    </xf>
    <xf numFmtId="178" fontId="34" fillId="0" borderId="0" xfId="0" applyNumberFormat="1" applyFont="1" applyAlignment="1">
      <alignment vertical="center" shrinkToFit="1"/>
    </xf>
    <xf numFmtId="0" fontId="35" fillId="0" borderId="0" xfId="0" applyFont="1" applyAlignment="1">
      <alignment horizontal="left" vertical="center" shrinkToFit="1"/>
    </xf>
    <xf numFmtId="0" fontId="19" fillId="0" borderId="0" xfId="0" applyFont="1" applyAlignment="1">
      <alignment vertical="center" shrinkToFit="1"/>
    </xf>
    <xf numFmtId="178" fontId="15" fillId="0" borderId="0" xfId="0" applyNumberFormat="1" applyFont="1" applyAlignment="1">
      <alignment vertical="center" shrinkToFit="1"/>
    </xf>
    <xf numFmtId="0" fontId="19" fillId="0" borderId="14" xfId="0" applyFont="1" applyBorder="1">
      <alignment vertical="center"/>
    </xf>
    <xf numFmtId="178" fontId="15" fillId="0" borderId="0" xfId="0" applyNumberFormat="1" applyFont="1" applyAlignment="1">
      <alignment vertical="top" shrinkToFit="1"/>
    </xf>
    <xf numFmtId="178" fontId="37" fillId="0" borderId="0" xfId="0" applyNumberFormat="1" applyFont="1" applyAlignment="1">
      <alignment vertical="top" shrinkToFit="1"/>
    </xf>
    <xf numFmtId="0" fontId="36" fillId="0" borderId="0" xfId="0" applyFont="1" applyAlignment="1">
      <alignment horizontal="center" vertical="center" shrinkToFit="1"/>
    </xf>
    <xf numFmtId="178" fontId="34" fillId="0" borderId="0" xfId="0" applyNumberFormat="1" applyFont="1" applyAlignment="1">
      <alignment vertical="top" shrinkToFit="1"/>
    </xf>
    <xf numFmtId="178" fontId="34" fillId="0" borderId="0" xfId="0" applyNumberFormat="1" applyFont="1" applyAlignment="1">
      <alignment shrinkToFit="1"/>
    </xf>
    <xf numFmtId="49" fontId="19" fillId="0" borderId="13" xfId="0" applyNumberFormat="1" applyFont="1" applyBorder="1" applyAlignment="1">
      <alignment vertical="center" shrinkToFit="1"/>
    </xf>
    <xf numFmtId="49" fontId="19" fillId="0" borderId="0" xfId="0" applyNumberFormat="1" applyFont="1" applyAlignment="1">
      <alignment vertical="center" shrinkToFit="1"/>
    </xf>
    <xf numFmtId="57" fontId="19" fillId="0" borderId="13" xfId="0" applyNumberFormat="1" applyFont="1" applyBorder="1">
      <alignment vertical="center"/>
    </xf>
    <xf numFmtId="57" fontId="19" fillId="0" borderId="0" xfId="0" applyNumberFormat="1" applyFont="1">
      <alignment vertical="center"/>
    </xf>
    <xf numFmtId="178" fontId="36" fillId="0" borderId="0" xfId="0" applyNumberFormat="1" applyFont="1" applyAlignment="1"/>
    <xf numFmtId="0" fontId="19" fillId="0" borderId="0" xfId="2" applyNumberFormat="1" applyFont="1" applyFill="1" applyBorder="1" applyAlignment="1">
      <alignment vertical="center"/>
    </xf>
    <xf numFmtId="178" fontId="36" fillId="0" borderId="0" xfId="0" applyNumberFormat="1" applyFont="1">
      <alignment vertical="center"/>
    </xf>
    <xf numFmtId="0" fontId="34" fillId="0" borderId="0" xfId="2" applyNumberFormat="1" applyFont="1" applyFill="1" applyBorder="1" applyAlignment="1">
      <alignment vertical="center"/>
    </xf>
    <xf numFmtId="0" fontId="34" fillId="0" borderId="0" xfId="0" applyFont="1">
      <alignment vertical="center"/>
    </xf>
    <xf numFmtId="176" fontId="19" fillId="0" borderId="0" xfId="1" applyNumberFormat="1" applyFont="1" applyFill="1" applyBorder="1" applyAlignment="1">
      <alignment horizontal="right" vertical="center" shrinkToFit="1"/>
    </xf>
    <xf numFmtId="0" fontId="34" fillId="0" borderId="0" xfId="0" applyFont="1" applyAlignment="1">
      <alignment vertical="center" shrinkToFit="1"/>
    </xf>
    <xf numFmtId="0" fontId="19" fillId="0" borderId="0" xfId="0" applyFont="1" applyAlignment="1">
      <alignment horizontal="right" vertical="center" shrinkToFit="1"/>
    </xf>
    <xf numFmtId="176" fontId="34" fillId="0" borderId="0" xfId="1" applyNumberFormat="1" applyFont="1" applyFill="1" applyBorder="1" applyAlignment="1">
      <alignment vertical="center" shrinkToFit="1"/>
    </xf>
    <xf numFmtId="0" fontId="19" fillId="0" borderId="0" xfId="0" applyFont="1" applyAlignment="1">
      <alignment vertical="top" shrinkToFit="1"/>
    </xf>
    <xf numFmtId="176" fontId="19" fillId="0" borderId="0" xfId="1" applyNumberFormat="1" applyFont="1" applyFill="1" applyBorder="1" applyAlignment="1">
      <alignment vertical="center" shrinkToFit="1"/>
    </xf>
    <xf numFmtId="0" fontId="19" fillId="0" borderId="0" xfId="0" applyFont="1" applyAlignment="1">
      <alignment vertical="top"/>
    </xf>
    <xf numFmtId="0" fontId="19" fillId="0" borderId="0" xfId="0" applyFont="1" applyAlignment="1">
      <alignment horizontal="left" vertical="top"/>
    </xf>
    <xf numFmtId="176" fontId="19" fillId="0" borderId="0" xfId="0" applyNumberFormat="1" applyFont="1" applyAlignment="1">
      <alignment vertical="center" shrinkToFit="1"/>
    </xf>
    <xf numFmtId="176" fontId="19" fillId="0" borderId="0" xfId="0" applyNumberFormat="1" applyFont="1" applyAlignment="1">
      <alignment vertical="top" shrinkToFit="1"/>
    </xf>
    <xf numFmtId="176" fontId="19" fillId="0" borderId="0" xfId="0" applyNumberFormat="1" applyFont="1">
      <alignment vertical="center"/>
    </xf>
    <xf numFmtId="176" fontId="35" fillId="0" borderId="0" xfId="0" applyNumberFormat="1" applyFont="1" applyAlignment="1"/>
    <xf numFmtId="176" fontId="35" fillId="0" borderId="14" xfId="0" applyNumberFormat="1" applyFont="1" applyBorder="1" applyAlignment="1"/>
    <xf numFmtId="176" fontId="38" fillId="0" borderId="0" xfId="0" applyNumberFormat="1" applyFont="1" applyAlignment="1">
      <alignment vertical="top"/>
    </xf>
    <xf numFmtId="176" fontId="35" fillId="0" borderId="0" xfId="0" applyNumberFormat="1" applyFont="1">
      <alignment vertical="center"/>
    </xf>
    <xf numFmtId="176" fontId="35" fillId="0" borderId="14" xfId="0" applyNumberFormat="1" applyFont="1" applyBorder="1">
      <alignment vertical="center"/>
    </xf>
    <xf numFmtId="176" fontId="19" fillId="0" borderId="0" xfId="0" applyNumberFormat="1" applyFont="1" applyAlignment="1">
      <alignment vertical="top"/>
    </xf>
    <xf numFmtId="176" fontId="34" fillId="0" borderId="0" xfId="0" applyNumberFormat="1" applyFont="1" applyAlignment="1"/>
    <xf numFmtId="176" fontId="35" fillId="0" borderId="0" xfId="0" applyNumberFormat="1" applyFont="1" applyAlignment="1">
      <alignment vertical="top"/>
    </xf>
    <xf numFmtId="176" fontId="35" fillId="0" borderId="14" xfId="0" applyNumberFormat="1" applyFont="1" applyBorder="1" applyAlignment="1">
      <alignment vertical="top"/>
    </xf>
    <xf numFmtId="176" fontId="34" fillId="0" borderId="0" xfId="0" applyNumberFormat="1" applyFont="1" applyAlignment="1">
      <alignment vertical="top"/>
    </xf>
    <xf numFmtId="57" fontId="36" fillId="0" borderId="0" xfId="0" applyNumberFormat="1" applyFont="1">
      <alignment vertical="center"/>
    </xf>
    <xf numFmtId="57" fontId="36" fillId="0" borderId="0" xfId="0" applyNumberFormat="1" applyFont="1" applyAlignment="1">
      <alignment vertical="top"/>
    </xf>
    <xf numFmtId="0" fontId="19" fillId="0" borderId="9" xfId="0" applyFont="1" applyBorder="1">
      <alignment vertical="center"/>
    </xf>
    <xf numFmtId="0" fontId="19" fillId="0" borderId="10" xfId="0" applyFont="1" applyBorder="1">
      <alignment vertical="center"/>
    </xf>
    <xf numFmtId="0" fontId="19" fillId="0" borderId="11" xfId="0" applyFont="1" applyBorder="1">
      <alignment vertical="center"/>
    </xf>
    <xf numFmtId="178" fontId="29" fillId="0" borderId="0" xfId="0" applyNumberFormat="1" applyFont="1" applyAlignment="1">
      <alignment vertical="center" shrinkToFit="1"/>
    </xf>
    <xf numFmtId="0" fontId="40" fillId="0" borderId="0" xfId="0" applyFont="1">
      <alignment vertical="center"/>
    </xf>
    <xf numFmtId="178" fontId="40" fillId="0" borderId="0" xfId="0" applyNumberFormat="1" applyFont="1" applyAlignment="1">
      <alignment vertical="center" shrinkToFit="1"/>
    </xf>
    <xf numFmtId="0" fontId="40" fillId="0" borderId="0" xfId="0" applyFont="1" applyAlignment="1">
      <alignment horizontal="center" vertical="center"/>
    </xf>
    <xf numFmtId="178" fontId="42" fillId="0" borderId="5" xfId="0" applyNumberFormat="1" applyFont="1" applyBorder="1">
      <alignment vertical="center"/>
    </xf>
    <xf numFmtId="0" fontId="40" fillId="0" borderId="8" xfId="0" applyFont="1" applyBorder="1">
      <alignment vertical="center"/>
    </xf>
    <xf numFmtId="0" fontId="40" fillId="0" borderId="6" xfId="0" applyFont="1" applyBorder="1">
      <alignment vertical="center"/>
    </xf>
    <xf numFmtId="0" fontId="40" fillId="0" borderId="13" xfId="0" applyFont="1" applyBorder="1">
      <alignment vertical="center"/>
    </xf>
    <xf numFmtId="0" fontId="39" fillId="0" borderId="0" xfId="0" applyFont="1" applyAlignment="1">
      <alignment vertical="center" shrinkToFit="1"/>
    </xf>
    <xf numFmtId="0" fontId="40" fillId="0" borderId="14" xfId="0" applyFont="1" applyBorder="1">
      <alignment vertical="center"/>
    </xf>
    <xf numFmtId="0" fontId="39" fillId="0" borderId="0" xfId="0" applyFont="1" applyAlignment="1">
      <alignment horizontal="right" shrinkToFit="1"/>
    </xf>
    <xf numFmtId="0" fontId="40" fillId="0" borderId="9" xfId="0" applyFont="1" applyBorder="1">
      <alignment vertical="center"/>
    </xf>
    <xf numFmtId="0" fontId="40" fillId="0" borderId="10" xfId="0" applyFont="1" applyBorder="1">
      <alignment vertical="center"/>
    </xf>
    <xf numFmtId="0" fontId="40" fillId="0" borderId="11" xfId="0" applyFont="1" applyBorder="1">
      <alignment vertical="center"/>
    </xf>
    <xf numFmtId="38" fontId="10" fillId="0" borderId="0" xfId="0" applyNumberFormat="1" applyFont="1" applyAlignment="1">
      <alignment vertical="center" shrinkToFit="1"/>
    </xf>
    <xf numFmtId="0" fontId="13" fillId="0" borderId="0" xfId="0" applyFont="1" applyAlignment="1">
      <alignment horizontal="right" vertical="center"/>
    </xf>
    <xf numFmtId="0" fontId="13" fillId="0" borderId="0" xfId="0" applyFont="1">
      <alignment vertical="center"/>
    </xf>
    <xf numFmtId="0" fontId="43" fillId="0" borderId="0" xfId="0" applyFont="1" applyAlignment="1">
      <alignment vertical="center" shrinkToFit="1"/>
    </xf>
    <xf numFmtId="58" fontId="0" fillId="0" borderId="0" xfId="0" applyNumberFormat="1" applyAlignment="1">
      <alignment horizontal="left" vertical="center" shrinkToFit="1"/>
    </xf>
    <xf numFmtId="0" fontId="0" fillId="0" borderId="1" xfId="0" applyBorder="1" applyAlignment="1" applyProtection="1">
      <alignment vertical="center" shrinkToFit="1"/>
      <protection locked="0"/>
    </xf>
    <xf numFmtId="49" fontId="0" fillId="0" borderId="1" xfId="1" applyNumberFormat="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177" fontId="34" fillId="0" borderId="0" xfId="0" applyNumberFormat="1" applyFont="1" applyAlignment="1">
      <alignment horizontal="center" vertical="center"/>
    </xf>
    <xf numFmtId="0" fontId="34" fillId="0" borderId="0" xfId="0" applyFont="1" applyAlignment="1">
      <alignment horizontal="center" vertical="center"/>
    </xf>
    <xf numFmtId="0" fontId="0" fillId="0" borderId="10" xfId="0" applyBorder="1" applyAlignment="1">
      <alignment horizontal="center" vertical="center"/>
    </xf>
    <xf numFmtId="38" fontId="0" fillId="0" borderId="14" xfId="1" applyFont="1" applyBorder="1" applyAlignment="1">
      <alignment horizontal="center" vertical="center"/>
    </xf>
    <xf numFmtId="0" fontId="0" fillId="0" borderId="0" xfId="0" applyAlignment="1">
      <alignment horizontal="left" vertical="center" wrapText="1"/>
    </xf>
    <xf numFmtId="178" fontId="0" fillId="0" borderId="0" xfId="0" applyNumberFormat="1" applyAlignment="1">
      <alignment horizontal="center" vertical="center"/>
    </xf>
    <xf numFmtId="57" fontId="0" fillId="0" borderId="2" xfId="0" applyNumberFormat="1" applyBorder="1" applyAlignment="1">
      <alignment horizontal="center" vertical="center"/>
    </xf>
    <xf numFmtId="0" fontId="51" fillId="0" borderId="0" xfId="0" applyFont="1">
      <alignment vertical="center"/>
    </xf>
    <xf numFmtId="0" fontId="40" fillId="0" borderId="0" xfId="0" applyFont="1" applyAlignment="1">
      <alignment vertical="center" shrinkToFit="1"/>
    </xf>
    <xf numFmtId="176" fontId="32" fillId="0" borderId="0" xfId="1" applyNumberFormat="1" applyFont="1" applyFill="1" applyBorder="1" applyAlignment="1">
      <alignment shrinkToFit="1"/>
    </xf>
    <xf numFmtId="0" fontId="0" fillId="0" borderId="3" xfId="0" applyBorder="1" applyAlignment="1">
      <alignment horizontal="center" vertical="top" shrinkToFit="1"/>
    </xf>
    <xf numFmtId="0" fontId="5" fillId="0" borderId="6" xfId="0" applyFont="1" applyBorder="1">
      <alignment vertical="center"/>
    </xf>
    <xf numFmtId="0" fontId="8" fillId="0" borderId="9" xfId="0" applyFont="1" applyBorder="1" applyAlignment="1">
      <alignment horizontal="right" vertical="center"/>
    </xf>
    <xf numFmtId="0" fontId="8" fillId="0" borderId="11" xfId="0" applyFont="1" applyBorder="1">
      <alignment vertical="center"/>
    </xf>
    <xf numFmtId="0" fontId="8" fillId="0" borderId="3" xfId="0" applyFont="1" applyBorder="1" applyAlignment="1">
      <alignment horizontal="center" vertical="center"/>
    </xf>
    <xf numFmtId="0" fontId="39" fillId="0" borderId="0" xfId="0" applyFont="1" applyAlignment="1">
      <alignment horizontal="left" vertical="center" shrinkToFit="1"/>
    </xf>
    <xf numFmtId="0" fontId="16" fillId="0" borderId="9" xfId="0" applyFont="1" applyBorder="1" applyAlignment="1">
      <alignment horizontal="center" vertical="top" wrapText="1"/>
    </xf>
    <xf numFmtId="181" fontId="16" fillId="0" borderId="10" xfId="0" applyNumberFormat="1" applyFont="1" applyBorder="1" applyAlignment="1">
      <alignment horizontal="center" vertical="top" shrinkToFit="1"/>
    </xf>
    <xf numFmtId="0" fontId="16" fillId="0" borderId="11" xfId="0" applyFont="1" applyBorder="1" applyAlignment="1">
      <alignment vertical="top" wrapText="1"/>
    </xf>
    <xf numFmtId="0" fontId="34" fillId="0" borderId="0" xfId="0" applyFont="1" applyAlignment="1">
      <alignment horizontal="right"/>
    </xf>
    <xf numFmtId="0" fontId="22" fillId="0" borderId="0" xfId="0" applyFont="1" applyAlignment="1">
      <alignment vertical="center" wrapText="1"/>
    </xf>
    <xf numFmtId="0" fontId="0" fillId="0" borderId="55" xfId="0" applyBorder="1" applyAlignment="1">
      <alignment horizontal="right" vertical="center" shrinkToFit="1"/>
    </xf>
    <xf numFmtId="38" fontId="0" fillId="0" borderId="57" xfId="1" applyFont="1" applyFill="1" applyBorder="1">
      <alignment vertical="center"/>
    </xf>
    <xf numFmtId="178" fontId="0" fillId="0" borderId="0" xfId="0" applyNumberFormat="1" applyAlignment="1">
      <alignment shrinkToFit="1"/>
    </xf>
    <xf numFmtId="0" fontId="20" fillId="0" borderId="0" xfId="0" applyFont="1" applyAlignment="1">
      <alignment vertical="center" wrapText="1"/>
    </xf>
    <xf numFmtId="0" fontId="44" fillId="0" borderId="13" xfId="0" applyFont="1" applyBorder="1">
      <alignment vertical="center"/>
    </xf>
    <xf numFmtId="38" fontId="0" fillId="0" borderId="0" xfId="0" applyNumberFormat="1" applyAlignment="1">
      <alignment horizontal="right" vertical="center"/>
    </xf>
    <xf numFmtId="0" fontId="11" fillId="0" borderId="5" xfId="0" applyFont="1"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6" xfId="0" applyBorder="1">
      <alignment vertical="center"/>
    </xf>
    <xf numFmtId="0" fontId="51" fillId="0" borderId="58" xfId="0" applyFont="1" applyBorder="1">
      <alignment vertical="center"/>
    </xf>
    <xf numFmtId="0" fontId="0" fillId="0" borderId="59" xfId="0" applyBorder="1">
      <alignment vertical="center"/>
    </xf>
    <xf numFmtId="0" fontId="11" fillId="0" borderId="65" xfId="0" applyFont="1" applyBorder="1" applyAlignment="1">
      <alignment vertical="center" shrinkToFit="1"/>
    </xf>
    <xf numFmtId="0" fontId="0" fillId="0" borderId="68" xfId="0" applyBorder="1">
      <alignment vertical="center"/>
    </xf>
    <xf numFmtId="0" fontId="0" fillId="0" borderId="71" xfId="0" applyBorder="1">
      <alignment vertical="center"/>
    </xf>
    <xf numFmtId="0" fontId="0" fillId="2" borderId="1" xfId="0" applyFill="1" applyBorder="1" applyAlignment="1" applyProtection="1">
      <alignment horizontal="center" vertical="center" shrinkToFit="1"/>
      <protection locked="0"/>
    </xf>
    <xf numFmtId="183" fontId="0" fillId="0" borderId="1" xfId="0" applyNumberFormat="1" applyBorder="1" applyAlignment="1">
      <alignment horizontal="center" vertical="center" shrinkToFit="1"/>
    </xf>
    <xf numFmtId="0" fontId="0" fillId="9" borderId="50" xfId="0" applyFill="1" applyBorder="1" applyAlignment="1" applyProtection="1">
      <alignment shrinkToFit="1"/>
      <protection locked="0"/>
    </xf>
    <xf numFmtId="0" fontId="0" fillId="9" borderId="45" xfId="0" applyFill="1" applyBorder="1" applyAlignment="1" applyProtection="1">
      <alignment shrinkToFit="1"/>
      <protection locked="0"/>
    </xf>
    <xf numFmtId="0" fontId="0" fillId="9" borderId="51" xfId="0" applyFill="1" applyBorder="1" applyAlignment="1" applyProtection="1">
      <alignment shrinkToFit="1"/>
      <protection locked="0"/>
    </xf>
    <xf numFmtId="38" fontId="0" fillId="2" borderId="1" xfId="1" applyFont="1" applyFill="1" applyBorder="1" applyProtection="1">
      <alignment vertical="center"/>
      <protection locked="0"/>
    </xf>
    <xf numFmtId="38" fontId="0" fillId="2" borderId="1" xfId="1" applyFont="1" applyFill="1" applyBorder="1" applyAlignment="1" applyProtection="1">
      <alignment horizontal="right" vertical="center"/>
      <protection locked="0"/>
    </xf>
    <xf numFmtId="0" fontId="0" fillId="0" borderId="4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57"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0" borderId="3" xfId="0" applyBorder="1" applyAlignment="1" applyProtection="1">
      <alignment horizontal="center" vertical="center" shrinkToFit="1"/>
      <protection locked="0"/>
    </xf>
    <xf numFmtId="49" fontId="0" fillId="0" borderId="1" xfId="0" applyNumberFormat="1" applyBorder="1" applyAlignment="1" applyProtection="1">
      <alignment horizontal="center" vertical="center" shrinkToFit="1"/>
      <protection locked="0"/>
    </xf>
    <xf numFmtId="57" fontId="0" fillId="0" borderId="1" xfId="0" applyNumberFormat="1" applyBorder="1" applyAlignment="1" applyProtection="1">
      <alignment horizontal="center" vertical="center" shrinkToFit="1"/>
      <protection locked="0"/>
    </xf>
    <xf numFmtId="183" fontId="0" fillId="0" borderId="1" xfId="0" applyNumberFormat="1" applyBorder="1" applyAlignment="1" applyProtection="1">
      <alignment horizontal="center" vertical="center" shrinkToFit="1"/>
      <protection locked="0"/>
    </xf>
    <xf numFmtId="0" fontId="1" fillId="0" borderId="0" xfId="0" applyFont="1">
      <alignment vertical="center"/>
    </xf>
    <xf numFmtId="176" fontId="3" fillId="0" borderId="0" xfId="1" applyNumberFormat="1" applyFont="1" applyFill="1" applyBorder="1" applyAlignment="1">
      <alignment vertical="center" shrinkToFit="1"/>
    </xf>
    <xf numFmtId="0" fontId="57" fillId="0" borderId="0" xfId="0" applyFont="1" applyAlignment="1">
      <alignment horizontal="right" vertical="center"/>
    </xf>
    <xf numFmtId="0" fontId="57" fillId="0" borderId="0" xfId="0" applyFont="1" applyAlignment="1">
      <alignment horizontal="right" vertical="top"/>
    </xf>
    <xf numFmtId="0" fontId="0" fillId="0" borderId="67" xfId="0" applyBorder="1">
      <alignment vertical="center"/>
    </xf>
    <xf numFmtId="0" fontId="5" fillId="2" borderId="5" xfId="0" applyFont="1" applyFill="1" applyBorder="1" applyAlignment="1" applyProtection="1">
      <alignment horizontal="center"/>
      <protection locked="0"/>
    </xf>
    <xf numFmtId="0" fontId="0" fillId="0" borderId="12" xfId="0" applyBorder="1" applyAlignment="1">
      <alignment horizontal="center" vertical="center" shrinkToFit="1"/>
    </xf>
    <xf numFmtId="0" fontId="60" fillId="0" borderId="2" xfId="0" applyFont="1" applyBorder="1" applyAlignment="1">
      <alignment horizontal="center" vertical="center" shrinkToFit="1"/>
    </xf>
    <xf numFmtId="0" fontId="60" fillId="0" borderId="5" xfId="0" applyFont="1" applyBorder="1" applyAlignment="1">
      <alignment horizontal="center" vertical="center" shrinkToFit="1"/>
    </xf>
    <xf numFmtId="0" fontId="50" fillId="0" borderId="0" xfId="0" applyFont="1" applyAlignment="1">
      <alignment vertical="center" wrapText="1"/>
    </xf>
    <xf numFmtId="38" fontId="0" fillId="4" borderId="33" xfId="1" applyFont="1" applyFill="1" applyBorder="1" applyAlignment="1">
      <alignment horizontal="center" vertical="center" shrinkToFit="1"/>
    </xf>
    <xf numFmtId="38" fontId="0" fillId="4" borderId="39" xfId="1" applyFont="1" applyFill="1" applyBorder="1" applyAlignment="1">
      <alignment horizontal="center" vertical="center" shrinkToFit="1"/>
    </xf>
    <xf numFmtId="38" fontId="0" fillId="4" borderId="34" xfId="1" applyFont="1" applyFill="1" applyBorder="1" applyAlignment="1">
      <alignment horizontal="center" vertical="center" shrinkToFit="1"/>
    </xf>
    <xf numFmtId="38" fontId="0" fillId="4" borderId="37" xfId="1" applyFont="1" applyFill="1" applyBorder="1" applyAlignment="1">
      <alignment horizontal="center" vertical="center" shrinkToFit="1"/>
    </xf>
    <xf numFmtId="0" fontId="0" fillId="4" borderId="34" xfId="0" applyFill="1" applyBorder="1" applyAlignment="1">
      <alignment horizontal="center" vertical="center" shrinkToFit="1"/>
    </xf>
    <xf numFmtId="0" fontId="0" fillId="4" borderId="36" xfId="0" applyFill="1" applyBorder="1" applyAlignment="1">
      <alignment horizontal="center" vertical="center" shrinkToFit="1"/>
    </xf>
    <xf numFmtId="176" fontId="32" fillId="0" borderId="0" xfId="0" applyNumberFormat="1" applyFont="1" applyAlignment="1">
      <alignment horizontal="center" shrinkToFit="1"/>
    </xf>
    <xf numFmtId="0" fontId="16" fillId="0" borderId="3" xfId="0" applyFont="1" applyBorder="1" applyAlignment="1">
      <alignment horizontal="center" vertical="top" shrinkToFit="1"/>
    </xf>
    <xf numFmtId="0" fontId="0" fillId="0" borderId="47" xfId="0" applyBorder="1" applyAlignment="1">
      <alignment horizontal="center" vertical="center" shrinkToFit="1"/>
    </xf>
    <xf numFmtId="0" fontId="0" fillId="0" borderId="42" xfId="0" applyBorder="1" applyAlignment="1">
      <alignment horizontal="center" vertical="center" shrinkToFit="1"/>
    </xf>
    <xf numFmtId="0" fontId="0" fillId="0" borderId="6" xfId="0" applyBorder="1" applyAlignment="1">
      <alignment horizontal="center" vertical="center"/>
    </xf>
    <xf numFmtId="0" fontId="0" fillId="0" borderId="9" xfId="0" applyBorder="1" applyAlignment="1">
      <alignment horizontal="center" vertical="center"/>
    </xf>
    <xf numFmtId="0" fontId="59" fillId="0" borderId="0" xfId="0" applyFont="1" applyAlignment="1">
      <alignment horizontal="left"/>
    </xf>
    <xf numFmtId="0" fontId="54" fillId="0" borderId="62" xfId="0" applyFont="1" applyBorder="1">
      <alignment vertical="center"/>
    </xf>
    <xf numFmtId="38" fontId="54" fillId="2" borderId="1" xfId="1" applyFont="1" applyFill="1" applyBorder="1" applyProtection="1">
      <alignment vertical="center"/>
      <protection locked="0"/>
    </xf>
    <xf numFmtId="38" fontId="54" fillId="2" borderId="1" xfId="1" applyFont="1" applyFill="1" applyBorder="1" applyAlignment="1" applyProtection="1">
      <alignment horizontal="right" vertical="center"/>
      <protection locked="0"/>
    </xf>
    <xf numFmtId="57" fontId="54" fillId="0" borderId="73" xfId="0" applyNumberFormat="1" applyFont="1" applyBorder="1" applyAlignment="1" applyProtection="1">
      <alignment horizontal="center" vertical="center" shrinkToFit="1"/>
      <protection locked="0"/>
    </xf>
    <xf numFmtId="57" fontId="54" fillId="0" borderId="2" xfId="0" applyNumberFormat="1" applyFont="1" applyBorder="1" applyAlignment="1" applyProtection="1">
      <alignment horizontal="center" vertical="center"/>
      <protection locked="0"/>
    </xf>
    <xf numFmtId="0" fontId="54" fillId="2" borderId="1" xfId="0" applyFont="1" applyFill="1" applyBorder="1" applyAlignment="1" applyProtection="1">
      <alignment horizontal="center" vertical="center"/>
      <protection locked="0"/>
    </xf>
    <xf numFmtId="0" fontId="54" fillId="0" borderId="48" xfId="0" applyFont="1" applyBorder="1" applyAlignment="1" applyProtection="1">
      <alignment horizontal="center" vertical="center"/>
      <protection locked="0"/>
    </xf>
    <xf numFmtId="0" fontId="54" fillId="0" borderId="49" xfId="0" applyFont="1" applyBorder="1" applyAlignment="1" applyProtection="1">
      <alignment horizontal="center" vertical="center"/>
      <protection locked="0"/>
    </xf>
    <xf numFmtId="57" fontId="54" fillId="0" borderId="1" xfId="0" applyNumberFormat="1"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49" fontId="14" fillId="0" borderId="1" xfId="0" applyNumberFormat="1" applyFont="1" applyBorder="1" applyAlignment="1" applyProtection="1">
      <alignment horizontal="center" vertical="center"/>
      <protection locked="0"/>
    </xf>
    <xf numFmtId="38" fontId="54" fillId="0" borderId="7" xfId="1" applyFont="1" applyFill="1" applyBorder="1" applyProtection="1">
      <alignment vertical="center"/>
      <protection locked="0"/>
    </xf>
    <xf numFmtId="38" fontId="54" fillId="0" borderId="56" xfId="1" applyFont="1" applyFill="1" applyBorder="1" applyProtection="1">
      <alignment vertical="center"/>
      <protection locked="0"/>
    </xf>
    <xf numFmtId="0" fontId="54" fillId="2" borderId="1" xfId="0" applyFont="1" applyFill="1" applyBorder="1" applyAlignment="1" applyProtection="1">
      <alignment horizontal="center" vertical="center" shrinkToFit="1"/>
      <protection locked="0"/>
    </xf>
    <xf numFmtId="57" fontId="14" fillId="0" borderId="1" xfId="0" applyNumberFormat="1" applyFont="1" applyBorder="1" applyAlignment="1" applyProtection="1">
      <alignment horizontal="center" vertical="center" shrinkToFit="1"/>
      <protection locked="0"/>
    </xf>
    <xf numFmtId="183" fontId="14" fillId="0" borderId="1" xfId="0" applyNumberFormat="1"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shrinkToFit="1"/>
      <protection locked="0"/>
    </xf>
    <xf numFmtId="49" fontId="54" fillId="0" borderId="1" xfId="0" applyNumberFormat="1" applyFont="1" applyBorder="1" applyAlignment="1" applyProtection="1">
      <alignment horizontal="center" vertical="center" shrinkToFit="1"/>
      <protection locked="0"/>
    </xf>
    <xf numFmtId="0" fontId="54" fillId="0" borderId="11" xfId="0" applyFont="1" applyBorder="1" applyAlignment="1" applyProtection="1">
      <alignment horizontal="center" vertical="center"/>
      <protection locked="0"/>
    </xf>
    <xf numFmtId="0" fontId="34" fillId="0" borderId="0" xfId="0" applyFont="1" applyAlignment="1">
      <alignment shrinkToFit="1"/>
    </xf>
    <xf numFmtId="176" fontId="34" fillId="0" borderId="0" xfId="1" applyNumberFormat="1" applyFont="1" applyFill="1" applyBorder="1" applyAlignment="1">
      <alignment shrinkToFit="1"/>
    </xf>
    <xf numFmtId="0" fontId="34" fillId="0" borderId="0" xfId="0" applyFont="1" applyAlignment="1">
      <alignment horizontal="left" vertical="center"/>
    </xf>
    <xf numFmtId="38" fontId="0" fillId="0" borderId="14" xfId="1" applyFont="1" applyFill="1" applyBorder="1">
      <alignment vertical="center"/>
    </xf>
    <xf numFmtId="178" fontId="0" fillId="0" borderId="21" xfId="0" applyNumberFormat="1" applyBorder="1" applyAlignment="1">
      <alignment vertical="center" shrinkToFit="1"/>
    </xf>
    <xf numFmtId="178" fontId="0" fillId="0" borderId="10" xfId="0" applyNumberFormat="1" applyBorder="1" applyAlignment="1">
      <alignment vertical="center" shrinkToFit="1"/>
    </xf>
    <xf numFmtId="178" fontId="0" fillId="0" borderId="12" xfId="0" applyNumberFormat="1" applyBorder="1" applyAlignment="1">
      <alignment vertical="center" shrinkToFit="1"/>
    </xf>
    <xf numFmtId="178" fontId="0" fillId="0" borderId="10" xfId="0" applyNumberFormat="1" applyBorder="1" applyAlignment="1">
      <alignment horizontal="center" vertical="center" shrinkToFit="1"/>
    </xf>
    <xf numFmtId="178" fontId="0" fillId="0" borderId="12" xfId="0" applyNumberFormat="1" applyBorder="1" applyAlignment="1">
      <alignment horizontal="center" vertical="center" shrinkToFit="1"/>
    </xf>
    <xf numFmtId="0" fontId="60" fillId="0" borderId="1" xfId="0" applyFont="1" applyBorder="1" applyAlignment="1">
      <alignment horizontal="center" vertical="center" shrinkToFit="1"/>
    </xf>
    <xf numFmtId="0" fontId="64" fillId="0" borderId="15" xfId="0" applyFont="1" applyBorder="1" applyAlignment="1">
      <alignment horizontal="center" vertical="center" shrinkToFit="1"/>
    </xf>
    <xf numFmtId="0" fontId="64" fillId="0" borderId="3" xfId="0" applyFont="1" applyBorder="1" applyAlignment="1">
      <alignment horizontal="center" vertical="center" textRotation="255" shrinkToFit="1"/>
    </xf>
    <xf numFmtId="38" fontId="13" fillId="0" borderId="0" xfId="0" applyNumberFormat="1" applyFont="1" applyAlignment="1">
      <alignment vertical="center" shrinkToFit="1"/>
    </xf>
    <xf numFmtId="0" fontId="0" fillId="5" borderId="0" xfId="0" applyFill="1" applyAlignment="1">
      <alignment horizontal="center" vertical="center" shrinkToFit="1"/>
    </xf>
    <xf numFmtId="0" fontId="0" fillId="5" borderId="5" xfId="0" applyFill="1" applyBorder="1" applyAlignment="1">
      <alignment horizontal="center" vertical="center"/>
    </xf>
    <xf numFmtId="0" fontId="0" fillId="5" borderId="6" xfId="0" applyFill="1" applyBorder="1" applyAlignment="1">
      <alignment horizontal="center" vertical="center" shrinkToFit="1"/>
    </xf>
    <xf numFmtId="38" fontId="0" fillId="5" borderId="1" xfId="1" applyFont="1" applyFill="1" applyBorder="1" applyAlignment="1">
      <alignment vertical="center" shrinkToFit="1"/>
    </xf>
    <xf numFmtId="0" fontId="0" fillId="5" borderId="0" xfId="0" applyFill="1" applyAlignment="1">
      <alignment horizontal="left" vertical="center"/>
    </xf>
    <xf numFmtId="0" fontId="0" fillId="5" borderId="0" xfId="0" applyFill="1" applyAlignment="1">
      <alignment vertical="center" shrinkToFit="1"/>
    </xf>
    <xf numFmtId="0" fontId="0" fillId="5" borderId="0" xfId="0" applyFill="1" applyAlignment="1">
      <alignment horizontal="right" vertical="center"/>
    </xf>
    <xf numFmtId="38" fontId="0" fillId="5" borderId="7" xfId="1" applyFont="1" applyFill="1" applyBorder="1" applyAlignment="1">
      <alignment horizontal="center" vertical="center" shrinkToFit="1"/>
    </xf>
    <xf numFmtId="38" fontId="0" fillId="5" borderId="4" xfId="1" applyFont="1" applyFill="1" applyBorder="1" applyAlignment="1">
      <alignment horizontal="center" vertical="center"/>
    </xf>
    <xf numFmtId="0" fontId="0" fillId="5" borderId="7" xfId="0" applyFill="1" applyBorder="1" applyAlignment="1">
      <alignment horizontal="right" vertical="center" shrinkToFit="1"/>
    </xf>
    <xf numFmtId="38" fontId="0" fillId="5" borderId="1" xfId="0" applyNumberFormat="1" applyFill="1" applyBorder="1" applyAlignment="1">
      <alignment horizontal="center" vertical="center" shrinkToFit="1"/>
    </xf>
    <xf numFmtId="0" fontId="0" fillId="5" borderId="17" xfId="0" applyFill="1" applyBorder="1" applyAlignment="1">
      <alignment vertical="center" shrinkToFit="1"/>
    </xf>
    <xf numFmtId="0" fontId="0" fillId="5" borderId="18" xfId="0" applyFill="1" applyBorder="1" applyAlignment="1">
      <alignment horizontal="right" vertical="center" shrinkToFit="1"/>
    </xf>
    <xf numFmtId="38" fontId="0" fillId="5" borderId="20" xfId="0" applyNumberFormat="1" applyFill="1" applyBorder="1" applyAlignment="1">
      <alignment horizontal="center" vertical="center" shrinkToFit="1"/>
    </xf>
    <xf numFmtId="0" fontId="0" fillId="7" borderId="0" xfId="0" applyFill="1">
      <alignment vertical="center"/>
    </xf>
    <xf numFmtId="0" fontId="0" fillId="7" borderId="0" xfId="0" applyFill="1" applyAlignment="1">
      <alignment vertical="center" shrinkToFit="1"/>
    </xf>
    <xf numFmtId="0" fontId="0" fillId="7" borderId="0" xfId="0" applyFill="1" applyAlignment="1">
      <alignment horizontal="center" vertical="center" shrinkToFit="1"/>
    </xf>
    <xf numFmtId="38" fontId="0" fillId="7" borderId="1" xfId="1" applyFont="1" applyFill="1" applyBorder="1" applyAlignment="1">
      <alignment vertical="center" shrinkToFit="1"/>
    </xf>
    <xf numFmtId="0" fontId="0" fillId="7" borderId="7" xfId="0" applyFill="1" applyBorder="1" applyAlignment="1">
      <alignment vertical="center" shrinkToFit="1"/>
    </xf>
    <xf numFmtId="38" fontId="0" fillId="7" borderId="1" xfId="1" applyFont="1" applyFill="1" applyBorder="1" applyAlignment="1">
      <alignment horizontal="center" vertical="center"/>
    </xf>
    <xf numFmtId="38" fontId="0" fillId="7" borderId="2" xfId="1" applyFont="1" applyFill="1" applyBorder="1" applyAlignment="1">
      <alignment horizontal="center" vertical="center"/>
    </xf>
    <xf numFmtId="38" fontId="0" fillId="7" borderId="7" xfId="1" applyFont="1" applyFill="1" applyBorder="1" applyAlignment="1">
      <alignment horizontal="center" vertical="center" shrinkToFit="1"/>
    </xf>
    <xf numFmtId="38" fontId="0" fillId="7" borderId="4" xfId="1" applyFont="1" applyFill="1" applyBorder="1" applyAlignment="1">
      <alignment horizontal="center" vertical="center"/>
    </xf>
    <xf numFmtId="38" fontId="0" fillId="7" borderId="3" xfId="1" applyFont="1" applyFill="1" applyBorder="1" applyAlignment="1">
      <alignment horizontal="center" vertical="center" shrinkToFit="1"/>
    </xf>
    <xf numFmtId="38" fontId="0" fillId="7" borderId="3" xfId="1" applyFont="1" applyFill="1" applyBorder="1" applyAlignment="1">
      <alignment horizontal="center" vertical="center"/>
    </xf>
    <xf numFmtId="38" fontId="0" fillId="7" borderId="20" xfId="1" applyFont="1" applyFill="1" applyBorder="1" applyAlignment="1">
      <alignment horizontal="center" vertical="center"/>
    </xf>
    <xf numFmtId="0" fontId="0" fillId="10" borderId="0" xfId="0" applyFill="1">
      <alignment vertical="center"/>
    </xf>
    <xf numFmtId="0" fontId="0" fillId="10" borderId="7" xfId="0" applyFill="1" applyBorder="1" applyAlignment="1">
      <alignment vertical="center" shrinkToFit="1"/>
    </xf>
    <xf numFmtId="38" fontId="0" fillId="10" borderId="1" xfId="0" applyNumberFormat="1" applyFill="1" applyBorder="1" applyAlignment="1">
      <alignment horizontal="center" vertical="center" shrinkToFit="1"/>
    </xf>
    <xf numFmtId="0" fontId="0" fillId="10" borderId="7" xfId="0" applyFill="1" applyBorder="1">
      <alignment vertical="center"/>
    </xf>
    <xf numFmtId="0" fontId="0" fillId="10" borderId="4" xfId="0" applyFill="1" applyBorder="1" applyAlignment="1">
      <alignment horizontal="right" vertical="center"/>
    </xf>
    <xf numFmtId="38" fontId="0" fillId="10" borderId="2" xfId="0" applyNumberFormat="1" applyFill="1" applyBorder="1" applyAlignment="1">
      <alignment horizontal="center" vertical="center" shrinkToFit="1"/>
    </xf>
    <xf numFmtId="38" fontId="0" fillId="10" borderId="6" xfId="0" applyNumberFormat="1" applyFill="1" applyBorder="1" applyAlignment="1">
      <alignment vertical="center" shrinkToFit="1"/>
    </xf>
    <xf numFmtId="38" fontId="0" fillId="10" borderId="1" xfId="1" applyFont="1" applyFill="1" applyBorder="1" applyAlignment="1">
      <alignment horizontal="center" vertical="center" shrinkToFit="1"/>
    </xf>
    <xf numFmtId="38" fontId="0" fillId="10" borderId="4" xfId="1" applyFont="1" applyFill="1" applyBorder="1" applyAlignment="1">
      <alignment horizontal="center" vertical="center" shrinkToFit="1"/>
    </xf>
    <xf numFmtId="38" fontId="0" fillId="10" borderId="7" xfId="0" applyNumberFormat="1" applyFill="1" applyBorder="1" applyAlignment="1">
      <alignment horizontal="center" vertical="center" shrinkToFit="1"/>
    </xf>
    <xf numFmtId="38" fontId="0" fillId="10" borderId="19" xfId="0" applyNumberFormat="1" applyFill="1" applyBorder="1" applyAlignment="1">
      <alignment vertical="center" shrinkToFit="1"/>
    </xf>
    <xf numFmtId="0" fontId="0" fillId="10" borderId="0" xfId="0" applyFill="1" applyAlignment="1">
      <alignment vertical="center" shrinkToFit="1"/>
    </xf>
    <xf numFmtId="0" fontId="0" fillId="10" borderId="0" xfId="0" applyFill="1" applyAlignment="1">
      <alignment horizontal="right" vertical="center" shrinkToFit="1"/>
    </xf>
    <xf numFmtId="0" fontId="0" fillId="10" borderId="5" xfId="0" applyFill="1" applyBorder="1" applyAlignment="1">
      <alignment horizontal="center" vertical="center" shrinkToFit="1"/>
    </xf>
    <xf numFmtId="0" fontId="0" fillId="10" borderId="6" xfId="0" applyFill="1" applyBorder="1" applyAlignment="1">
      <alignment horizontal="center" vertical="center" shrinkToFit="1"/>
    </xf>
    <xf numFmtId="0" fontId="0" fillId="10" borderId="7" xfId="0" applyFill="1" applyBorder="1" applyAlignment="1">
      <alignment horizontal="center" vertical="center" shrinkToFit="1"/>
    </xf>
    <xf numFmtId="38" fontId="0" fillId="10" borderId="1" xfId="1" applyFont="1" applyFill="1" applyBorder="1" applyAlignment="1">
      <alignment vertical="center" shrinkToFit="1"/>
    </xf>
    <xf numFmtId="38" fontId="0" fillId="0" borderId="11" xfId="1" applyFont="1" applyFill="1" applyBorder="1" applyAlignment="1">
      <alignment vertical="center" shrinkToFit="1"/>
    </xf>
    <xf numFmtId="0" fontId="0" fillId="0" borderId="13"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79" xfId="0" applyBorder="1" applyAlignment="1">
      <alignment horizontal="center" vertical="center" shrinkToFit="1"/>
    </xf>
    <xf numFmtId="0" fontId="64" fillId="0" borderId="47" xfId="0" applyFont="1" applyBorder="1" applyAlignment="1">
      <alignment horizontal="center" vertical="center" shrinkToFit="1"/>
    </xf>
    <xf numFmtId="0" fontId="0" fillId="0" borderId="42" xfId="0" applyBorder="1" applyAlignment="1">
      <alignment horizontal="center" vertical="top" shrinkToFit="1"/>
    </xf>
    <xf numFmtId="0" fontId="0" fillId="0" borderId="31" xfId="0" applyBorder="1" applyAlignment="1" applyProtection="1">
      <alignment horizontal="center" shrinkToFit="1"/>
      <protection locked="0"/>
    </xf>
    <xf numFmtId="0" fontId="0" fillId="9" borderId="80" xfId="0" applyFill="1" applyBorder="1" applyAlignment="1" applyProtection="1">
      <alignment horizontal="center" shrinkToFit="1"/>
      <protection locked="0"/>
    </xf>
    <xf numFmtId="0" fontId="0" fillId="9" borderId="81" xfId="0" applyFill="1" applyBorder="1" applyAlignment="1" applyProtection="1">
      <alignment horizontal="center" shrinkToFit="1"/>
      <protection locked="0"/>
    </xf>
    <xf numFmtId="0" fontId="0" fillId="9" borderId="82" xfId="0" applyFill="1" applyBorder="1" applyAlignment="1" applyProtection="1">
      <alignment shrinkToFit="1"/>
      <protection locked="0"/>
    </xf>
    <xf numFmtId="0" fontId="0" fillId="9" borderId="83" xfId="0" applyFill="1" applyBorder="1" applyAlignment="1" applyProtection="1">
      <alignment shrinkToFit="1"/>
      <protection locked="0"/>
    </xf>
    <xf numFmtId="0" fontId="0" fillId="9" borderId="84" xfId="0" applyFill="1" applyBorder="1" applyAlignment="1" applyProtection="1">
      <alignment shrinkToFit="1"/>
      <protection locked="0"/>
    </xf>
    <xf numFmtId="178" fontId="0" fillId="0" borderId="21" xfId="0" applyNumberFormat="1" applyBorder="1" applyAlignment="1">
      <alignment horizontal="center" vertical="center" shrinkToFit="1"/>
    </xf>
    <xf numFmtId="0" fontId="64" fillId="0" borderId="85" xfId="0" applyFont="1" applyBorder="1" applyAlignment="1">
      <alignment horizontal="center" vertical="center" shrinkToFit="1"/>
    </xf>
    <xf numFmtId="0" fontId="13" fillId="0" borderId="86" xfId="0" applyFont="1" applyBorder="1" applyAlignment="1">
      <alignment horizontal="center" vertical="center" shrinkToFit="1"/>
    </xf>
    <xf numFmtId="0" fontId="13" fillId="0" borderId="13" xfId="0" applyFont="1" applyBorder="1" applyAlignment="1">
      <alignment horizontal="center" vertical="center" shrinkToFit="1"/>
    </xf>
    <xf numFmtId="38" fontId="0" fillId="0" borderId="7" xfId="1" applyFont="1" applyBorder="1" applyAlignment="1" applyProtection="1">
      <alignment horizontal="center" shrinkToFit="1"/>
      <protection locked="0"/>
    </xf>
    <xf numFmtId="38" fontId="0" fillId="9" borderId="82" xfId="1" applyFont="1" applyFill="1" applyBorder="1" applyAlignment="1" applyProtection="1">
      <alignment shrinkToFit="1"/>
      <protection locked="0"/>
    </xf>
    <xf numFmtId="0" fontId="23" fillId="11" borderId="87" xfId="0" applyFont="1" applyFill="1" applyBorder="1" applyAlignment="1">
      <alignment horizontal="center" vertical="center" shrinkToFit="1"/>
    </xf>
    <xf numFmtId="0" fontId="23" fillId="11" borderId="88" xfId="0" applyFont="1" applyFill="1" applyBorder="1" applyAlignment="1">
      <alignment horizontal="center" vertical="center" shrinkToFit="1"/>
    </xf>
    <xf numFmtId="0" fontId="14" fillId="0" borderId="89" xfId="0" applyFont="1" applyBorder="1" applyAlignment="1" applyProtection="1">
      <alignment horizontal="center" shrinkToFit="1"/>
      <protection locked="0"/>
    </xf>
    <xf numFmtId="0" fontId="0" fillId="9" borderId="91" xfId="0" applyFill="1" applyBorder="1" applyAlignment="1" applyProtection="1">
      <alignment horizontal="center" shrinkToFit="1"/>
      <protection locked="0"/>
    </xf>
    <xf numFmtId="0" fontId="0" fillId="7" borderId="4" xfId="0" applyFill="1" applyBorder="1" applyAlignment="1">
      <alignment horizontal="center" vertical="center" shrinkToFit="1"/>
    </xf>
    <xf numFmtId="0" fontId="0" fillId="0" borderId="17" xfId="0" applyBorder="1" applyAlignment="1">
      <alignment horizontal="center" vertical="center" shrinkToFit="1"/>
    </xf>
    <xf numFmtId="38" fontId="0" fillId="0" borderId="31" xfId="1" applyFont="1" applyFill="1" applyBorder="1" applyAlignment="1" applyProtection="1">
      <alignment horizontal="center" shrinkToFit="1"/>
      <protection locked="0"/>
    </xf>
    <xf numFmtId="38" fontId="0" fillId="0" borderId="30" xfId="1" applyFont="1" applyFill="1" applyBorder="1" applyAlignment="1" applyProtection="1">
      <alignment horizontal="center" shrinkToFit="1"/>
      <protection locked="0"/>
    </xf>
    <xf numFmtId="38" fontId="0" fillId="0" borderId="1" xfId="1" applyFont="1" applyFill="1" applyBorder="1" applyAlignment="1" applyProtection="1">
      <alignment horizontal="center" shrinkToFit="1"/>
      <protection locked="0"/>
    </xf>
    <xf numFmtId="0" fontId="43" fillId="5" borderId="1" xfId="0" applyFont="1" applyFill="1" applyBorder="1" applyAlignment="1">
      <alignment horizontal="center" vertical="center" shrinkToFit="1"/>
    </xf>
    <xf numFmtId="0" fontId="5" fillId="7" borderId="43" xfId="0" applyFont="1" applyFill="1" applyBorder="1" applyAlignment="1">
      <alignment horizontal="center" vertical="center" shrinkToFit="1"/>
    </xf>
    <xf numFmtId="0" fontId="43" fillId="7" borderId="4" xfId="0" applyFont="1" applyFill="1" applyBorder="1" applyAlignment="1">
      <alignment horizontal="center" vertical="center" shrinkToFit="1"/>
    </xf>
    <xf numFmtId="0" fontId="43" fillId="6" borderId="7" xfId="0" applyFont="1" applyFill="1" applyBorder="1" applyAlignment="1">
      <alignment horizontal="center" vertical="center" shrinkToFit="1"/>
    </xf>
    <xf numFmtId="0" fontId="43" fillId="6" borderId="92" xfId="0" applyFont="1" applyFill="1" applyBorder="1" applyAlignment="1">
      <alignment horizontal="center" vertical="center" shrinkToFit="1"/>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22" fillId="10" borderId="1" xfId="0" applyFont="1" applyFill="1" applyBorder="1" applyAlignment="1">
      <alignment horizontal="center" vertical="center" shrinkToFit="1"/>
    </xf>
    <xf numFmtId="0" fontId="22" fillId="12" borderId="1" xfId="0" applyFont="1" applyFill="1" applyBorder="1" applyAlignment="1">
      <alignment horizontal="center" vertical="center" shrinkToFit="1"/>
    </xf>
    <xf numFmtId="0" fontId="24" fillId="0" borderId="33" xfId="0" applyFont="1" applyBorder="1">
      <alignment vertical="center"/>
    </xf>
    <xf numFmtId="0" fontId="24" fillId="0" borderId="37" xfId="0" applyFont="1" applyBorder="1">
      <alignment vertical="center"/>
    </xf>
    <xf numFmtId="0" fontId="24" fillId="0" borderId="34" xfId="0" applyFont="1" applyBorder="1">
      <alignment vertical="center"/>
    </xf>
    <xf numFmtId="0" fontId="0" fillId="0" borderId="44" xfId="0" applyBorder="1" applyAlignment="1">
      <alignment horizontal="center" vertical="center" shrinkToFit="1"/>
    </xf>
    <xf numFmtId="0" fontId="0" fillId="0" borderId="93" xfId="0" applyBorder="1" applyAlignment="1">
      <alignment horizontal="center" vertical="center" shrinkToFit="1"/>
    </xf>
    <xf numFmtId="0" fontId="50" fillId="0" borderId="0" xfId="0" applyFont="1" applyAlignment="1">
      <alignment horizontal="center" vertical="center" wrapText="1"/>
    </xf>
    <xf numFmtId="0" fontId="50" fillId="4" borderId="0" xfId="0" applyFont="1" applyFill="1">
      <alignment vertical="center"/>
    </xf>
    <xf numFmtId="0" fontId="14" fillId="11" borderId="5" xfId="0" applyFont="1" applyFill="1" applyBorder="1" applyAlignment="1">
      <alignment vertical="top"/>
    </xf>
    <xf numFmtId="0" fontId="14" fillId="11" borderId="8" xfId="0" applyFont="1" applyFill="1" applyBorder="1">
      <alignment vertical="center"/>
    </xf>
    <xf numFmtId="0" fontId="14" fillId="11" borderId="6" xfId="0" applyFont="1" applyFill="1" applyBorder="1">
      <alignment vertical="center"/>
    </xf>
    <xf numFmtId="0" fontId="65" fillId="11" borderId="10" xfId="0" applyFont="1" applyFill="1" applyBorder="1" applyAlignment="1">
      <alignment vertical="top" wrapText="1"/>
    </xf>
    <xf numFmtId="0" fontId="14" fillId="11" borderId="10" xfId="0" applyFont="1" applyFill="1" applyBorder="1">
      <alignment vertical="center"/>
    </xf>
    <xf numFmtId="0" fontId="23" fillId="11" borderId="11" xfId="0" applyFont="1" applyFill="1" applyBorder="1">
      <alignment vertical="center"/>
    </xf>
    <xf numFmtId="38" fontId="0" fillId="3" borderId="1" xfId="1" applyFont="1" applyFill="1" applyBorder="1" applyAlignment="1">
      <alignment horizontal="center" vertical="center"/>
    </xf>
    <xf numFmtId="38" fontId="0" fillId="3" borderId="3" xfId="1" applyFont="1" applyFill="1" applyBorder="1" applyAlignment="1">
      <alignment horizontal="center" vertical="center"/>
    </xf>
    <xf numFmtId="0" fontId="0" fillId="3" borderId="1" xfId="0" applyFill="1" applyBorder="1" applyAlignment="1">
      <alignment vertical="center" shrinkToFit="1"/>
    </xf>
    <xf numFmtId="38" fontId="0" fillId="3" borderId="1" xfId="0" applyNumberFormat="1" applyFill="1" applyBorder="1" applyAlignment="1">
      <alignment horizontal="center" vertical="center"/>
    </xf>
    <xf numFmtId="0" fontId="0" fillId="3" borderId="1" xfId="0" applyFill="1" applyBorder="1" applyAlignment="1">
      <alignment horizontal="center" vertical="center"/>
    </xf>
    <xf numFmtId="0" fontId="0" fillId="7" borderId="0" xfId="0" applyFill="1" applyAlignment="1">
      <alignment horizontal="right" vertical="center"/>
    </xf>
    <xf numFmtId="0" fontId="0" fillId="7" borderId="13" xfId="0" applyFill="1" applyBorder="1" applyAlignment="1">
      <alignment vertical="center" shrinkToFit="1"/>
    </xf>
    <xf numFmtId="0" fontId="0" fillId="7" borderId="7" xfId="0" applyFill="1" applyBorder="1" applyAlignment="1">
      <alignment horizontal="center" vertical="center"/>
    </xf>
    <xf numFmtId="0" fontId="22" fillId="6" borderId="1" xfId="0" applyFont="1" applyFill="1" applyBorder="1" applyAlignment="1">
      <alignment horizontal="center" vertical="center" shrinkToFit="1"/>
    </xf>
    <xf numFmtId="0" fontId="22" fillId="7" borderId="1" xfId="0" applyFont="1" applyFill="1" applyBorder="1" applyAlignment="1">
      <alignment horizontal="center" vertical="center" shrinkToFit="1"/>
    </xf>
    <xf numFmtId="0" fontId="0" fillId="7" borderId="8" xfId="0" applyFill="1" applyBorder="1" applyAlignment="1">
      <alignment horizontal="center" vertical="center" shrinkToFit="1"/>
    </xf>
    <xf numFmtId="38" fontId="0" fillId="7" borderId="0" xfId="1" applyFont="1" applyFill="1" applyBorder="1" applyAlignment="1">
      <alignment horizontal="center" vertical="center" shrinkToFit="1"/>
    </xf>
    <xf numFmtId="38" fontId="0" fillId="7" borderId="8" xfId="1" applyFont="1" applyFill="1" applyBorder="1" applyAlignment="1">
      <alignment horizontal="center" vertical="center" shrinkToFit="1"/>
    </xf>
    <xf numFmtId="38" fontId="0" fillId="7" borderId="37" xfId="1" applyFont="1" applyFill="1" applyBorder="1" applyAlignment="1">
      <alignment horizontal="center" vertical="center"/>
    </xf>
    <xf numFmtId="0" fontId="0" fillId="7" borderId="4" xfId="0" applyFill="1" applyBorder="1" applyAlignment="1">
      <alignment horizontal="center" vertical="center"/>
    </xf>
    <xf numFmtId="0" fontId="0" fillId="3" borderId="1" xfId="0" applyFill="1" applyBorder="1" applyAlignment="1">
      <alignment horizontal="right" vertical="center" shrinkToFit="1"/>
    </xf>
    <xf numFmtId="38" fontId="0" fillId="0" borderId="0" xfId="1" applyFont="1" applyBorder="1">
      <alignment vertical="center"/>
    </xf>
    <xf numFmtId="0" fontId="14" fillId="11" borderId="13" xfId="0" applyFont="1" applyFill="1" applyBorder="1">
      <alignment vertical="center"/>
    </xf>
    <xf numFmtId="0" fontId="0" fillId="0" borderId="95" xfId="0" applyBorder="1" applyAlignment="1">
      <alignment horizontal="center" vertical="center"/>
    </xf>
    <xf numFmtId="0" fontId="0" fillId="0" borderId="94" xfId="0" applyBorder="1" applyAlignment="1">
      <alignment horizontal="center" vertical="center"/>
    </xf>
    <xf numFmtId="0" fontId="66" fillId="0" borderId="0" xfId="0" applyFont="1">
      <alignment vertical="center"/>
    </xf>
    <xf numFmtId="0" fontId="0" fillId="7" borderId="1" xfId="0" applyFill="1" applyBorder="1" applyAlignment="1">
      <alignment vertical="center" shrinkToFit="1"/>
    </xf>
    <xf numFmtId="38" fontId="0" fillId="0" borderId="0" xfId="1" applyFont="1" applyAlignment="1">
      <alignment horizontal="right" vertical="center" shrinkToFit="1"/>
    </xf>
    <xf numFmtId="38" fontId="0" fillId="0" borderId="0" xfId="0" applyNumberFormat="1" applyAlignment="1">
      <alignment horizontal="left" vertical="center" shrinkToFit="1"/>
    </xf>
    <xf numFmtId="57" fontId="0" fillId="0" borderId="1" xfId="0" applyNumberFormat="1" applyBorder="1" applyAlignment="1">
      <alignment vertical="center" shrinkToFit="1"/>
    </xf>
    <xf numFmtId="38" fontId="0" fillId="0" borderId="2" xfId="0" applyNumberFormat="1" applyBorder="1" applyAlignment="1">
      <alignment vertical="center" shrinkToFit="1"/>
    </xf>
    <xf numFmtId="57" fontId="0" fillId="0" borderId="2" xfId="0" applyNumberFormat="1" applyBorder="1" applyAlignment="1">
      <alignment vertical="center" shrinkToFit="1"/>
    </xf>
    <xf numFmtId="0" fontId="67" fillId="0" borderId="90" xfId="0" applyFont="1" applyBorder="1" applyAlignment="1" applyProtection="1">
      <alignment horizontal="center" shrinkToFit="1"/>
      <protection locked="0"/>
    </xf>
    <xf numFmtId="0" fontId="68" fillId="0" borderId="0" xfId="0" applyFont="1" applyAlignment="1">
      <alignment horizontal="center" vertical="center"/>
    </xf>
    <xf numFmtId="0" fontId="16" fillId="0" borderId="14" xfId="0" applyFont="1" applyBorder="1" applyAlignment="1">
      <alignment vertical="top" wrapText="1"/>
    </xf>
    <xf numFmtId="0" fontId="0" fillId="0" borderId="5" xfId="0" applyBorder="1" applyAlignment="1">
      <alignment horizontal="left" vertical="center"/>
    </xf>
    <xf numFmtId="0" fontId="0" fillId="0" borderId="8" xfId="0" applyBorder="1" applyAlignment="1">
      <alignment horizontal="left" vertical="center"/>
    </xf>
    <xf numFmtId="57" fontId="0" fillId="0" borderId="0" xfId="0" applyNumberFormat="1" applyAlignment="1">
      <alignment horizontal="center" vertical="center"/>
    </xf>
    <xf numFmtId="0" fontId="0" fillId="0" borderId="13" xfId="0" applyBorder="1" applyAlignment="1">
      <alignment horizontal="left" vertical="center"/>
    </xf>
    <xf numFmtId="0" fontId="0" fillId="0" borderId="9" xfId="0" applyBorder="1" applyAlignment="1">
      <alignment horizontal="left" vertical="center"/>
    </xf>
    <xf numFmtId="178" fontId="13" fillId="0" borderId="0" xfId="0" applyNumberFormat="1" applyFont="1" applyAlignment="1">
      <alignment vertical="top"/>
    </xf>
    <xf numFmtId="0" fontId="5" fillId="0" borderId="0" xfId="0" applyFont="1" applyAlignment="1">
      <alignment horizontal="right" vertical="center"/>
    </xf>
    <xf numFmtId="0" fontId="0" fillId="0" borderId="4" xfId="0" applyBorder="1" applyAlignment="1">
      <alignment vertical="center" shrinkToFit="1"/>
    </xf>
    <xf numFmtId="0" fontId="0" fillId="0" borderId="5" xfId="0" applyBorder="1" applyAlignment="1">
      <alignment vertical="center" shrinkToFit="1"/>
    </xf>
    <xf numFmtId="0" fontId="5" fillId="0" borderId="8" xfId="0" applyFont="1" applyBorder="1" applyAlignment="1">
      <alignment horizontal="center" vertical="center"/>
    </xf>
    <xf numFmtId="0" fontId="16" fillId="0" borderId="13" xfId="0" applyFont="1" applyBorder="1" applyAlignment="1">
      <alignment horizontal="center" vertical="center" wrapText="1"/>
    </xf>
    <xf numFmtId="181" fontId="16" fillId="0" borderId="0" xfId="0" applyNumberFormat="1" applyFont="1" applyAlignment="1">
      <alignment horizontal="center" vertical="center" shrinkToFit="1"/>
    </xf>
    <xf numFmtId="0" fontId="0" fillId="0" borderId="2" xfId="0" applyBorder="1" applyAlignment="1" applyProtection="1">
      <alignment horizontal="center" vertical="center"/>
      <protection locked="0"/>
    </xf>
    <xf numFmtId="38" fontId="0" fillId="0" borderId="7" xfId="1" applyFont="1" applyFill="1" applyBorder="1" applyProtection="1">
      <alignment vertical="center"/>
      <protection locked="0"/>
    </xf>
    <xf numFmtId="0" fontId="0" fillId="0" borderId="100" xfId="0" applyBorder="1" applyAlignment="1">
      <alignment vertical="center" shrinkToFit="1"/>
    </xf>
    <xf numFmtId="0" fontId="0" fillId="0" borderId="79" xfId="0" applyBorder="1" applyAlignment="1">
      <alignment horizontal="center" vertical="center" wrapText="1"/>
    </xf>
    <xf numFmtId="38" fontId="0" fillId="3" borderId="31" xfId="1" applyFont="1" applyFill="1" applyBorder="1" applyAlignment="1" applyProtection="1">
      <alignment horizontal="right" vertical="center" shrinkToFit="1"/>
      <protection locked="0"/>
    </xf>
    <xf numFmtId="0" fontId="0" fillId="0" borderId="41" xfId="0" applyBorder="1" applyAlignment="1">
      <alignment horizontal="center" vertical="center" shrinkToFit="1"/>
    </xf>
    <xf numFmtId="38" fontId="0" fillId="3" borderId="105" xfId="1" applyFont="1" applyFill="1" applyBorder="1" applyAlignment="1" applyProtection="1">
      <alignment horizontal="right" vertical="center" shrinkToFit="1"/>
      <protection locked="0"/>
    </xf>
    <xf numFmtId="0" fontId="0" fillId="0" borderId="33" xfId="0" applyBorder="1" applyAlignment="1">
      <alignment horizontal="center" vertical="center" shrinkToFit="1"/>
    </xf>
    <xf numFmtId="0" fontId="0" fillId="0" borderId="37" xfId="0" applyBorder="1" applyAlignment="1">
      <alignment horizontal="center" vertical="center" shrinkToFit="1"/>
    </xf>
    <xf numFmtId="0" fontId="0" fillId="0" borderId="30" xfId="0" applyBorder="1" applyAlignment="1" applyProtection="1">
      <alignment horizontal="center" vertical="center" shrinkToFit="1"/>
      <protection locked="0"/>
    </xf>
    <xf numFmtId="184" fontId="0" fillId="0" borderId="31" xfId="1" applyNumberFormat="1" applyFont="1" applyFill="1" applyBorder="1" applyAlignment="1" applyProtection="1">
      <alignment horizontal="right" vertical="center" shrinkToFit="1"/>
      <protection locked="0"/>
    </xf>
    <xf numFmtId="0" fontId="0" fillId="0" borderId="106" xfId="0" applyBorder="1" applyAlignment="1" applyProtection="1">
      <alignment horizontal="center" vertical="center" shrinkToFit="1"/>
      <protection locked="0"/>
    </xf>
    <xf numFmtId="0" fontId="0" fillId="0" borderId="107" xfId="0" applyBorder="1" applyAlignment="1" applyProtection="1">
      <alignment horizontal="center" vertical="center" shrinkToFit="1"/>
      <protection locked="0"/>
    </xf>
    <xf numFmtId="184" fontId="0" fillId="0" borderId="105" xfId="1" applyNumberFormat="1" applyFont="1" applyFill="1" applyBorder="1" applyAlignment="1" applyProtection="1">
      <alignment horizontal="right" vertical="center" shrinkToFit="1"/>
      <protection locked="0"/>
    </xf>
    <xf numFmtId="0" fontId="0" fillId="0" borderId="34" xfId="0" applyBorder="1" applyAlignment="1">
      <alignment horizontal="center" vertical="center" shrinkToFit="1"/>
    </xf>
    <xf numFmtId="0" fontId="0" fillId="0" borderId="108" xfId="0" applyBorder="1" applyAlignment="1">
      <alignment horizontal="center" vertical="center" shrinkToFit="1"/>
    </xf>
    <xf numFmtId="38" fontId="0" fillId="0" borderId="31" xfId="1" applyFont="1" applyFill="1" applyBorder="1" applyAlignment="1" applyProtection="1">
      <alignment horizontal="right" vertical="center" shrinkToFit="1"/>
      <protection locked="0"/>
    </xf>
    <xf numFmtId="38" fontId="0" fillId="0" borderId="105" xfId="1" applyFont="1" applyFill="1" applyBorder="1" applyAlignment="1" applyProtection="1">
      <alignment horizontal="right" vertical="center" shrinkToFit="1"/>
      <protection locked="0"/>
    </xf>
    <xf numFmtId="0" fontId="69" fillId="0" borderId="5" xfId="0" applyFont="1" applyBorder="1" applyAlignment="1">
      <alignment horizontal="center" vertical="center"/>
    </xf>
    <xf numFmtId="0" fontId="69" fillId="0" borderId="13" xfId="0" applyFont="1" applyBorder="1" applyAlignment="1">
      <alignment horizontal="center" vertical="center"/>
    </xf>
    <xf numFmtId="0" fontId="69" fillId="0" borderId="13" xfId="0" applyFont="1" applyBorder="1" applyAlignment="1">
      <alignment horizontal="right" vertical="center"/>
    </xf>
    <xf numFmtId="0" fontId="69" fillId="0" borderId="0" xfId="0" applyFont="1" applyAlignment="1">
      <alignment horizontal="right" vertical="center"/>
    </xf>
    <xf numFmtId="0" fontId="0" fillId="0" borderId="7" xfId="0" applyBorder="1" applyAlignment="1">
      <alignment vertical="center" shrinkToFit="1"/>
    </xf>
    <xf numFmtId="0" fontId="0" fillId="0" borderId="8" xfId="0" applyBorder="1" applyAlignment="1">
      <alignment horizontal="center" vertical="center" shrinkToFit="1"/>
    </xf>
    <xf numFmtId="0" fontId="55" fillId="0" borderId="0" xfId="0" applyFont="1" applyAlignment="1">
      <alignment horizontal="center" vertical="center"/>
    </xf>
    <xf numFmtId="0" fontId="0" fillId="0" borderId="15" xfId="0" applyBorder="1" applyAlignment="1">
      <alignment horizontal="right" vertical="center"/>
    </xf>
    <xf numFmtId="0" fontId="55" fillId="0" borderId="9" xfId="0" applyFont="1" applyBorder="1">
      <alignment vertical="center"/>
    </xf>
    <xf numFmtId="0" fontId="55" fillId="0" borderId="10" xfId="0" applyFont="1" applyBorder="1">
      <alignment vertical="center"/>
    </xf>
    <xf numFmtId="0" fontId="55" fillId="0" borderId="11" xfId="0" applyFont="1" applyBorder="1">
      <alignment vertical="center"/>
    </xf>
    <xf numFmtId="0" fontId="55" fillId="0" borderId="8" xfId="0" applyFont="1" applyBorder="1" applyAlignment="1">
      <alignment vertical="center" shrinkToFit="1"/>
    </xf>
    <xf numFmtId="0" fontId="54" fillId="0" borderId="5" xfId="0" applyFont="1" applyBorder="1" applyAlignment="1">
      <alignment horizontal="right" vertical="center"/>
    </xf>
    <xf numFmtId="0" fontId="54" fillId="0" borderId="5" xfId="0" applyFont="1" applyBorder="1" applyAlignment="1">
      <alignment horizontal="right" vertical="center" shrinkToFit="1"/>
    </xf>
    <xf numFmtId="0" fontId="60" fillId="0" borderId="6" xfId="0" applyFont="1" applyBorder="1" applyAlignment="1">
      <alignment horizontal="center" vertical="center" shrinkToFit="1"/>
    </xf>
    <xf numFmtId="0" fontId="55" fillId="0" borderId="13" xfId="0" applyFont="1" applyBorder="1">
      <alignment vertical="center"/>
    </xf>
    <xf numFmtId="0" fontId="55" fillId="0" borderId="0" xfId="0" applyFont="1">
      <alignment vertical="center"/>
    </xf>
    <xf numFmtId="0" fontId="55" fillId="0" borderId="14" xfId="0" applyFont="1" applyBorder="1" applyAlignment="1">
      <alignment horizontal="center" vertical="center"/>
    </xf>
    <xf numFmtId="0" fontId="55" fillId="0" borderId="10" xfId="0" applyFont="1" applyBorder="1" applyAlignment="1">
      <alignment horizontal="center" vertical="center"/>
    </xf>
    <xf numFmtId="0" fontId="55" fillId="0" borderId="11" xfId="0" applyFont="1" applyBorder="1" applyAlignment="1">
      <alignment horizontal="right" vertical="center"/>
    </xf>
    <xf numFmtId="0" fontId="48" fillId="0" borderId="13" xfId="0" applyFont="1" applyBorder="1" applyAlignment="1">
      <alignment vertical="center" shrinkToFit="1"/>
    </xf>
    <xf numFmtId="58" fontId="48" fillId="0" borderId="0" xfId="0" applyNumberFormat="1" applyFont="1" applyAlignment="1">
      <alignment horizontal="left" vertical="center" shrinkToFit="1"/>
    </xf>
    <xf numFmtId="0" fontId="48" fillId="0" borderId="0" xfId="0" applyFont="1">
      <alignment vertical="center"/>
    </xf>
    <xf numFmtId="0" fontId="48" fillId="0" borderId="0" xfId="0" applyFont="1" applyAlignment="1">
      <alignment horizontal="center" vertical="center"/>
    </xf>
    <xf numFmtId="0" fontId="48" fillId="0" borderId="14" xfId="0" applyFont="1" applyBorder="1" applyAlignment="1">
      <alignment horizontal="center" vertical="center"/>
    </xf>
    <xf numFmtId="0" fontId="48" fillId="0" borderId="9" xfId="0" applyFont="1" applyBorder="1">
      <alignment vertical="center"/>
    </xf>
    <xf numFmtId="0" fontId="48" fillId="0" borderId="10" xfId="0" applyFont="1" applyBorder="1">
      <alignment vertical="center"/>
    </xf>
    <xf numFmtId="0" fontId="48" fillId="0" borderId="10" xfId="0" applyFont="1" applyBorder="1" applyAlignment="1">
      <alignment horizontal="center" vertical="center"/>
    </xf>
    <xf numFmtId="0" fontId="48" fillId="0" borderId="11" xfId="0" applyFont="1" applyBorder="1" applyAlignment="1">
      <alignment horizontal="right" vertical="center"/>
    </xf>
    <xf numFmtId="0" fontId="0" fillId="0" borderId="7" xfId="0" applyBorder="1" applyAlignment="1">
      <alignment horizontal="center" vertical="center" shrinkToFit="1"/>
    </xf>
    <xf numFmtId="0" fontId="0" fillId="0" borderId="12" xfId="0" applyBorder="1" applyAlignment="1">
      <alignment horizontal="center" vertical="center" shrinkToFit="1"/>
    </xf>
    <xf numFmtId="0" fontId="0" fillId="0" borderId="4" xfId="0" applyBorder="1" applyAlignment="1">
      <alignment horizontal="center" vertical="center" shrinkToFit="1"/>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7" xfId="0" applyBorder="1" applyAlignment="1">
      <alignment horizontal="left" vertical="center" shrinkToFit="1"/>
    </xf>
    <xf numFmtId="0" fontId="0" fillId="0" borderId="12" xfId="0" applyBorder="1" applyAlignment="1">
      <alignment horizontal="left" vertical="center" shrinkToFit="1"/>
    </xf>
    <xf numFmtId="0" fontId="0" fillId="0" borderId="4" xfId="0" applyBorder="1" applyAlignment="1">
      <alignment horizontal="left" vertical="center" shrinkToFit="1"/>
    </xf>
    <xf numFmtId="0" fontId="0" fillId="0" borderId="7"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horizontal="left"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left" vertical="top" wrapText="1" shrinkToFit="1"/>
    </xf>
    <xf numFmtId="0" fontId="0" fillId="0" borderId="12" xfId="0" applyBorder="1" applyAlignment="1">
      <alignment horizontal="left" vertical="top" wrapText="1" shrinkToFit="1"/>
    </xf>
    <xf numFmtId="0" fontId="0" fillId="0" borderId="4" xfId="0" applyBorder="1" applyAlignment="1">
      <alignment horizontal="left" vertical="top" wrapText="1" shrinkToFit="1"/>
    </xf>
    <xf numFmtId="0" fontId="0" fillId="0" borderId="5" xfId="0" applyBorder="1" applyAlignment="1">
      <alignment horizontal="left" vertical="top" wrapText="1" shrinkToFit="1"/>
    </xf>
    <xf numFmtId="0" fontId="0" fillId="0" borderId="8" xfId="0" applyBorder="1" applyAlignment="1">
      <alignment horizontal="left" vertical="top" wrapText="1" shrinkToFit="1"/>
    </xf>
    <xf numFmtId="0" fontId="0" fillId="0" borderId="6" xfId="0" applyBorder="1" applyAlignment="1">
      <alignment horizontal="left" vertical="top" wrapText="1" shrinkToFit="1"/>
    </xf>
    <xf numFmtId="0" fontId="0" fillId="0" borderId="9" xfId="0" applyBorder="1" applyAlignment="1">
      <alignment horizontal="left" vertical="top" wrapText="1" shrinkToFit="1"/>
    </xf>
    <xf numFmtId="0" fontId="0" fillId="0" borderId="10" xfId="0" applyBorder="1" applyAlignment="1">
      <alignment horizontal="left" vertical="top" wrapText="1" shrinkToFit="1"/>
    </xf>
    <xf numFmtId="0" fontId="0" fillId="0" borderId="11" xfId="0" applyBorder="1" applyAlignment="1">
      <alignment horizontal="left" vertical="top" wrapText="1" shrinkToFit="1"/>
    </xf>
    <xf numFmtId="0" fontId="0" fillId="2" borderId="1" xfId="0" applyFill="1" applyBorder="1" applyAlignment="1" applyProtection="1">
      <alignment horizontal="center" vertical="center" shrinkToFit="1"/>
      <protection locked="0"/>
    </xf>
    <xf numFmtId="49" fontId="0" fillId="2" borderId="1" xfId="1" applyNumberFormat="1" applyFont="1" applyFill="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1" xfId="0" applyBorder="1" applyAlignment="1">
      <alignment horizontal="center" vertical="center" shrinkToFit="1"/>
    </xf>
    <xf numFmtId="0" fontId="8" fillId="0" borderId="1" xfId="0" applyFont="1" applyBorder="1" applyAlignment="1">
      <alignment horizontal="center" vertical="center" shrinkToFit="1"/>
    </xf>
    <xf numFmtId="0" fontId="0" fillId="0" borderId="1" xfId="0" applyBorder="1" applyAlignment="1" applyProtection="1">
      <alignment horizontal="center" vertical="center" shrinkToFit="1"/>
      <protection locked="0"/>
    </xf>
    <xf numFmtId="49" fontId="0" fillId="0" borderId="1" xfId="1" applyNumberFormat="1" applyFont="1" applyFill="1" applyBorder="1" applyAlignment="1" applyProtection="1">
      <alignment horizontal="center" vertical="center" shrinkToFit="1"/>
      <protection locked="0"/>
    </xf>
    <xf numFmtId="0" fontId="0" fillId="0" borderId="13" xfId="0" applyBorder="1" applyAlignment="1">
      <alignment horizontal="left" vertical="top" wrapText="1" shrinkToFit="1"/>
    </xf>
    <xf numFmtId="0" fontId="0" fillId="0" borderId="0" xfId="0" applyAlignment="1">
      <alignment horizontal="left" vertical="top" wrapText="1" shrinkToFit="1"/>
    </xf>
    <xf numFmtId="0" fontId="0" fillId="0" borderId="14" xfId="0" applyBorder="1" applyAlignment="1">
      <alignment horizontal="left" vertical="top" wrapText="1" shrinkToFit="1"/>
    </xf>
    <xf numFmtId="0" fontId="0" fillId="6" borderId="7" xfId="0" applyFill="1" applyBorder="1" applyAlignment="1">
      <alignment horizontal="center" vertical="center"/>
    </xf>
    <xf numFmtId="0" fontId="0" fillId="6" borderId="12" xfId="0" applyFill="1" applyBorder="1" applyAlignment="1">
      <alignment horizontal="center" vertical="center"/>
    </xf>
    <xf numFmtId="0" fontId="0" fillId="6" borderId="4" xfId="0" applyFill="1" applyBorder="1" applyAlignment="1">
      <alignment horizontal="center" vertical="center"/>
    </xf>
    <xf numFmtId="0" fontId="0" fillId="0" borderId="1" xfId="0" applyBorder="1" applyAlignment="1" applyProtection="1">
      <alignment horizontal="left" vertical="top" wrapText="1"/>
      <protection locked="0"/>
    </xf>
    <xf numFmtId="0" fontId="22" fillId="0" borderId="6" xfId="0" applyFont="1" applyBorder="1" applyAlignment="1">
      <alignment horizontal="left" vertical="center" wrapText="1"/>
    </xf>
    <xf numFmtId="0" fontId="22" fillId="0" borderId="14" xfId="0" applyFont="1" applyBorder="1" applyAlignment="1">
      <alignment horizontal="left" vertical="center" wrapText="1"/>
    </xf>
    <xf numFmtId="0" fontId="0" fillId="0" borderId="61" xfId="0" applyBorder="1" applyAlignment="1">
      <alignment horizontal="center" vertical="center" shrinkToFit="1"/>
    </xf>
    <xf numFmtId="0" fontId="0" fillId="0" borderId="14" xfId="0" applyBorder="1" applyAlignment="1">
      <alignment horizontal="center" vertical="center" shrinkToFit="1"/>
    </xf>
    <xf numFmtId="0" fontId="0" fillId="0" borderId="13" xfId="0" applyBorder="1" applyAlignment="1">
      <alignment horizontal="center" vertical="center" shrinkToFit="1"/>
    </xf>
    <xf numFmtId="0" fontId="0" fillId="0" borderId="0" xfId="0" applyAlignment="1">
      <alignment horizontal="center" vertical="center" shrinkToFit="1"/>
    </xf>
    <xf numFmtId="0" fontId="0" fillId="0" borderId="5" xfId="0" applyBorder="1" applyAlignment="1">
      <alignment horizontal="left" vertical="center" wrapText="1"/>
    </xf>
    <xf numFmtId="0" fontId="0" fillId="0" borderId="8" xfId="0" applyBorder="1" applyAlignment="1">
      <alignment horizontal="left" vertical="center"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98" xfId="0" applyBorder="1" applyAlignment="1">
      <alignment horizontal="center" vertical="center" shrinkToFit="1"/>
    </xf>
    <xf numFmtId="0" fontId="0" fillId="0" borderId="99" xfId="0" applyBorder="1" applyAlignment="1">
      <alignment horizontal="center" vertical="center" shrinkToFit="1"/>
    </xf>
    <xf numFmtId="0" fontId="0" fillId="0" borderId="72" xfId="0" applyBorder="1" applyAlignment="1">
      <alignment horizontal="center" vertical="center" shrinkToFit="1"/>
    </xf>
    <xf numFmtId="0" fontId="0" fillId="0" borderId="96" xfId="0" applyBorder="1" applyAlignment="1">
      <alignment horizontal="center" vertical="center" shrinkToFit="1"/>
    </xf>
    <xf numFmtId="0" fontId="0" fillId="0" borderId="97" xfId="0" applyBorder="1" applyAlignment="1">
      <alignment horizontal="center" vertical="center" shrinkToFit="1"/>
    </xf>
    <xf numFmtId="0" fontId="0" fillId="0" borderId="65" xfId="0" applyBorder="1" applyAlignment="1">
      <alignment horizontal="left" vertical="top" wrapText="1"/>
    </xf>
    <xf numFmtId="0" fontId="0" fillId="0" borderId="8" xfId="0" applyBorder="1" applyAlignment="1">
      <alignment horizontal="left" vertical="top" wrapText="1"/>
    </xf>
    <xf numFmtId="0" fontId="0" fillId="0" borderId="66" xfId="0" applyBorder="1" applyAlignment="1">
      <alignment horizontal="left" vertical="top" wrapText="1"/>
    </xf>
    <xf numFmtId="0" fontId="0" fillId="0" borderId="61" xfId="0" applyBorder="1" applyAlignment="1">
      <alignment horizontal="left" vertical="top" wrapText="1"/>
    </xf>
    <xf numFmtId="0" fontId="0" fillId="0" borderId="62" xfId="0" applyBorder="1" applyAlignment="1">
      <alignment horizontal="left" vertical="top" wrapText="1"/>
    </xf>
    <xf numFmtId="0" fontId="0" fillId="0" borderId="74" xfId="0" applyBorder="1" applyAlignment="1" applyProtection="1">
      <alignment horizontal="center" vertical="center"/>
      <protection locked="0"/>
    </xf>
    <xf numFmtId="0" fontId="0" fillId="0" borderId="75" xfId="0" applyBorder="1" applyAlignment="1" applyProtection="1">
      <alignment horizontal="center" vertical="center"/>
      <protection locked="0"/>
    </xf>
    <xf numFmtId="0" fontId="0" fillId="0" borderId="70" xfId="0" applyBorder="1" applyAlignment="1">
      <alignment horizontal="center" vertical="center" shrinkToFit="1"/>
    </xf>
    <xf numFmtId="0" fontId="0" fillId="0" borderId="68" xfId="0" applyBorder="1" applyAlignment="1">
      <alignment horizontal="center" vertical="center" shrinkToFit="1"/>
    </xf>
    <xf numFmtId="0" fontId="0" fillId="0" borderId="69" xfId="0" applyBorder="1" applyAlignment="1">
      <alignment horizontal="center" vertical="center" shrinkToFit="1"/>
    </xf>
    <xf numFmtId="0" fontId="22" fillId="0" borderId="2" xfId="0" applyFont="1" applyBorder="1" applyAlignment="1" applyProtection="1">
      <alignment horizontal="center" vertical="top" wrapText="1"/>
      <protection locked="0"/>
    </xf>
    <xf numFmtId="0" fontId="22" fillId="0" borderId="3" xfId="0" applyFont="1" applyBorder="1" applyAlignment="1" applyProtection="1">
      <alignment horizontal="center" vertical="top" wrapText="1"/>
      <protection locked="0"/>
    </xf>
    <xf numFmtId="0" fontId="0" fillId="0" borderId="15" xfId="0" applyBorder="1" applyAlignment="1">
      <alignment horizontal="right" vertical="center" wrapText="1" shrinkToFit="1"/>
    </xf>
    <xf numFmtId="0" fontId="0" fillId="0" borderId="3" xfId="0" applyBorder="1" applyAlignment="1">
      <alignment horizontal="right" vertical="center" wrapText="1" shrinkToFit="1"/>
    </xf>
    <xf numFmtId="0" fontId="16" fillId="0" borderId="5" xfId="0" applyFont="1" applyBorder="1" applyAlignment="1">
      <alignment horizontal="left" vertical="center" wrapText="1"/>
    </xf>
    <xf numFmtId="0" fontId="16" fillId="0" borderId="8" xfId="0" applyFont="1" applyBorder="1" applyAlignment="1">
      <alignment horizontal="left" vertical="center" wrapText="1"/>
    </xf>
    <xf numFmtId="0" fontId="16" fillId="0" borderId="6" xfId="0" applyFont="1" applyBorder="1" applyAlignment="1">
      <alignment horizontal="left" vertical="center" wrapText="1"/>
    </xf>
    <xf numFmtId="0" fontId="16" fillId="0" borderId="13" xfId="0" applyFont="1" applyBorder="1" applyAlignment="1">
      <alignment horizontal="left" vertical="center" wrapText="1"/>
    </xf>
    <xf numFmtId="0" fontId="16" fillId="0" borderId="0" xfId="0" applyFont="1" applyAlignment="1">
      <alignment horizontal="left" vertical="center" wrapText="1"/>
    </xf>
    <xf numFmtId="0" fontId="16" fillId="0" borderId="14" xfId="0" applyFont="1" applyBorder="1" applyAlignment="1">
      <alignment horizontal="left" vertical="center" wrapText="1"/>
    </xf>
    <xf numFmtId="0" fontId="0" fillId="0" borderId="52" xfId="0" applyBorder="1" applyAlignment="1">
      <alignment vertical="center" shrinkToFit="1"/>
    </xf>
    <xf numFmtId="0" fontId="0" fillId="0" borderId="53" xfId="0" applyBorder="1" applyAlignment="1">
      <alignment vertical="center" shrinkToFit="1"/>
    </xf>
    <xf numFmtId="0" fontId="0" fillId="0" borderId="54" xfId="0" applyBorder="1" applyAlignment="1">
      <alignment vertical="center" shrinkToFit="1"/>
    </xf>
    <xf numFmtId="0" fontId="0" fillId="0" borderId="7" xfId="0" applyBorder="1" applyAlignment="1">
      <alignment vertical="center" shrinkToFit="1"/>
    </xf>
    <xf numFmtId="0" fontId="0" fillId="0" borderId="12" xfId="0" applyBorder="1" applyAlignment="1">
      <alignment vertical="center" shrinkToFit="1"/>
    </xf>
    <xf numFmtId="0" fontId="16" fillId="0" borderId="13" xfId="0" applyFont="1" applyBorder="1" applyAlignment="1">
      <alignment horizontal="left" vertical="center" shrinkToFit="1"/>
    </xf>
    <xf numFmtId="0" fontId="16" fillId="0" borderId="0" xfId="0" applyFont="1" applyAlignment="1">
      <alignment horizontal="left" vertical="center" shrinkToFit="1"/>
    </xf>
    <xf numFmtId="0" fontId="16" fillId="0" borderId="14" xfId="0" applyFont="1" applyBorder="1" applyAlignment="1">
      <alignment horizontal="left" vertical="center" shrinkToFit="1"/>
    </xf>
    <xf numFmtId="0" fontId="0" fillId="0" borderId="5" xfId="0" applyBorder="1" applyAlignment="1">
      <alignment horizontal="left" vertical="center" wrapText="1" shrinkToFit="1"/>
    </xf>
    <xf numFmtId="0" fontId="0" fillId="0" borderId="6" xfId="0" applyBorder="1" applyAlignment="1">
      <alignment horizontal="left" vertical="center" wrapText="1" shrinkToFit="1"/>
    </xf>
    <xf numFmtId="0" fontId="0" fillId="0" borderId="13" xfId="0" applyBorder="1" applyAlignment="1">
      <alignment horizontal="left" vertical="center" wrapText="1" shrinkToFit="1"/>
    </xf>
    <xf numFmtId="0" fontId="0" fillId="0" borderId="14" xfId="0" applyBorder="1" applyAlignment="1">
      <alignment horizontal="left" vertical="center" wrapText="1" shrinkToFi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52" xfId="0" applyBorder="1" applyAlignment="1">
      <alignment horizontal="left" vertical="center"/>
    </xf>
    <xf numFmtId="0" fontId="0" fillId="0" borderId="53" xfId="0" applyBorder="1" applyAlignment="1">
      <alignment horizontal="left" vertical="center"/>
    </xf>
    <xf numFmtId="0" fontId="0" fillId="0" borderId="54" xfId="0" applyBorder="1" applyAlignment="1">
      <alignment horizontal="left" vertical="center"/>
    </xf>
    <xf numFmtId="57" fontId="0" fillId="0" borderId="7" xfId="0" applyNumberFormat="1" applyBorder="1" applyAlignment="1" applyProtection="1">
      <alignment horizontal="center" vertical="center" shrinkToFit="1"/>
      <protection locked="0"/>
    </xf>
    <xf numFmtId="57" fontId="0" fillId="0" borderId="4" xfId="0" applyNumberFormat="1" applyBorder="1" applyAlignment="1" applyProtection="1">
      <alignment horizontal="center" vertical="center" shrinkToFit="1"/>
      <protection locked="0"/>
    </xf>
    <xf numFmtId="0" fontId="0" fillId="0" borderId="9" xfId="0" applyBorder="1" applyAlignment="1">
      <alignment horizontal="right" vertical="center"/>
    </xf>
    <xf numFmtId="0" fontId="0" fillId="0" borderId="10" xfId="0" applyBorder="1" applyAlignment="1">
      <alignment horizontal="right" vertical="center"/>
    </xf>
    <xf numFmtId="0" fontId="0" fillId="0" borderId="11" xfId="0" applyBorder="1" applyAlignment="1">
      <alignment horizontal="right" vertical="center"/>
    </xf>
    <xf numFmtId="57" fontId="0" fillId="0" borderId="13" xfId="0" applyNumberFormat="1" applyBorder="1" applyAlignment="1" applyProtection="1">
      <alignment horizontal="left" vertical="top" shrinkToFit="1"/>
      <protection locked="0"/>
    </xf>
    <xf numFmtId="57" fontId="0" fillId="0" borderId="14" xfId="0" applyNumberFormat="1" applyBorder="1" applyAlignment="1" applyProtection="1">
      <alignment horizontal="left" vertical="top" shrinkToFit="1"/>
      <protection locked="0"/>
    </xf>
    <xf numFmtId="57" fontId="0" fillId="0" borderId="9" xfId="0" applyNumberFormat="1" applyBorder="1" applyAlignment="1" applyProtection="1">
      <alignment horizontal="left" vertical="top" shrinkToFit="1"/>
      <protection locked="0"/>
    </xf>
    <xf numFmtId="57" fontId="0" fillId="0" borderId="11" xfId="0" applyNumberFormat="1" applyBorder="1" applyAlignment="1" applyProtection="1">
      <alignment horizontal="left" vertical="top" shrinkToFit="1"/>
      <protection locked="0"/>
    </xf>
    <xf numFmtId="0" fontId="0" fillId="2" borderId="7"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7" xfId="0" applyFill="1" applyBorder="1" applyAlignment="1" applyProtection="1">
      <alignment horizontal="left" vertical="center" shrinkToFit="1"/>
      <protection locked="0"/>
    </xf>
    <xf numFmtId="0" fontId="0" fillId="2" borderId="12" xfId="0" applyFill="1" applyBorder="1" applyAlignment="1" applyProtection="1">
      <alignment horizontal="left" vertical="center" shrinkToFit="1"/>
      <protection locked="0"/>
    </xf>
    <xf numFmtId="0" fontId="0" fillId="2" borderId="4" xfId="0" applyFill="1" applyBorder="1" applyAlignment="1" applyProtection="1">
      <alignment horizontal="left" vertical="center" shrinkToFit="1"/>
      <protection locked="0"/>
    </xf>
    <xf numFmtId="0" fontId="0" fillId="0" borderId="5" xfId="0" applyBorder="1" applyAlignment="1">
      <alignment horizontal="left" vertical="center" shrinkToFit="1"/>
    </xf>
    <xf numFmtId="0" fontId="0" fillId="0" borderId="6" xfId="0" applyBorder="1" applyAlignment="1">
      <alignment horizontal="left" vertical="center" shrinkToFit="1"/>
    </xf>
    <xf numFmtId="0" fontId="0" fillId="0" borderId="58" xfId="0" applyBorder="1" applyAlignment="1">
      <alignment horizontal="center" vertical="center" shrinkToFit="1"/>
    </xf>
    <xf numFmtId="0" fontId="0" fillId="0" borderId="59" xfId="0" applyBorder="1" applyAlignment="1">
      <alignment horizontal="center" vertical="center" shrinkToFit="1"/>
    </xf>
    <xf numFmtId="0" fontId="0" fillId="0" borderId="60" xfId="0" applyBorder="1" applyAlignment="1">
      <alignment horizontal="center" vertical="center" shrinkToFit="1"/>
    </xf>
    <xf numFmtId="0" fontId="13" fillId="0" borderId="61" xfId="0" applyFont="1" applyBorder="1" applyAlignment="1">
      <alignment horizontal="left" vertical="center" shrinkToFit="1"/>
    </xf>
    <xf numFmtId="0" fontId="13" fillId="0" borderId="0" xfId="0" applyFont="1" applyAlignment="1">
      <alignment horizontal="left" vertical="center" shrinkToFit="1"/>
    </xf>
    <xf numFmtId="0" fontId="13" fillId="0" borderId="72" xfId="0" applyFont="1" applyBorder="1" applyAlignment="1">
      <alignment horizontal="left" vertical="center" shrinkToFit="1"/>
    </xf>
    <xf numFmtId="0" fontId="0" fillId="0" borderId="0" xfId="0" applyAlignment="1">
      <alignment horizontal="right" vertical="center" shrinkToFit="1"/>
    </xf>
    <xf numFmtId="0" fontId="0" fillId="0" borderId="14" xfId="0" applyBorder="1" applyAlignment="1">
      <alignment horizontal="right" vertical="center" shrinkToFit="1"/>
    </xf>
    <xf numFmtId="0" fontId="0" fillId="0" borderId="61" xfId="0" applyBorder="1" applyAlignment="1">
      <alignment horizontal="left" vertical="center" shrinkToFit="1"/>
    </xf>
    <xf numFmtId="0" fontId="0" fillId="0" borderId="0" xfId="0" applyAlignment="1">
      <alignment horizontal="left" vertical="center" shrinkToFit="1"/>
    </xf>
    <xf numFmtId="0" fontId="0" fillId="0" borderId="62" xfId="0" applyBorder="1" applyAlignment="1">
      <alignment horizontal="left" vertical="center" shrinkToFit="1"/>
    </xf>
    <xf numFmtId="0" fontId="16" fillId="0" borderId="61" xfId="0" applyFont="1" applyBorder="1" applyAlignment="1">
      <alignment horizontal="left" vertical="center" wrapText="1"/>
    </xf>
    <xf numFmtId="0" fontId="16" fillId="0" borderId="62" xfId="0" applyFont="1" applyBorder="1" applyAlignment="1">
      <alignment horizontal="left" vertical="center" wrapText="1"/>
    </xf>
    <xf numFmtId="0" fontId="13" fillId="0" borderId="13" xfId="0" applyFont="1" applyBorder="1" applyAlignment="1">
      <alignment horizontal="left" vertical="center" shrinkToFit="1"/>
    </xf>
    <xf numFmtId="0" fontId="13" fillId="0" borderId="14" xfId="0" applyFont="1" applyBorder="1" applyAlignment="1">
      <alignment horizontal="left" vertical="center" shrinkToFit="1"/>
    </xf>
    <xf numFmtId="0" fontId="11" fillId="0" borderId="65" xfId="0" applyFont="1" applyBorder="1" applyAlignment="1">
      <alignment horizontal="left" vertical="center" shrinkToFit="1"/>
    </xf>
    <xf numFmtId="0" fontId="11" fillId="0" borderId="8" xfId="0" applyFont="1" applyBorder="1" applyAlignment="1">
      <alignment horizontal="left" vertical="center" shrinkToFit="1"/>
    </xf>
    <xf numFmtId="0" fontId="11" fillId="0" borderId="66" xfId="0" applyFont="1" applyBorder="1" applyAlignment="1">
      <alignment horizontal="left" vertical="center" shrinkToFit="1"/>
    </xf>
    <xf numFmtId="0" fontId="13" fillId="0" borderId="5" xfId="0" applyFont="1" applyBorder="1" applyAlignment="1">
      <alignment horizontal="left" vertical="top" wrapText="1"/>
    </xf>
    <xf numFmtId="0" fontId="13" fillId="0" borderId="6"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57" fontId="0" fillId="0" borderId="1" xfId="0" applyNumberFormat="1" applyBorder="1" applyAlignment="1">
      <alignment horizontal="center" vertical="center" shrinkToFit="1"/>
    </xf>
    <xf numFmtId="0" fontId="0" fillId="0" borderId="13"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54" fillId="2" borderId="7" xfId="0" applyFont="1" applyFill="1" applyBorder="1" applyAlignment="1" applyProtection="1">
      <alignment horizontal="left" vertical="center" shrinkToFit="1"/>
      <protection locked="0"/>
    </xf>
    <xf numFmtId="0" fontId="54" fillId="2" borderId="12" xfId="0" applyFont="1" applyFill="1" applyBorder="1" applyAlignment="1" applyProtection="1">
      <alignment horizontal="left" vertical="center" shrinkToFit="1"/>
      <protection locked="0"/>
    </xf>
    <xf numFmtId="0" fontId="54" fillId="2" borderId="4" xfId="0" applyFont="1" applyFill="1" applyBorder="1" applyAlignment="1" applyProtection="1">
      <alignment horizontal="left" vertical="center" shrinkToFit="1"/>
      <protection locked="0"/>
    </xf>
    <xf numFmtId="0" fontId="11" fillId="0" borderId="7" xfId="0" applyFont="1" applyBorder="1" applyAlignment="1">
      <alignment horizontal="center" vertical="center" shrinkToFit="1"/>
    </xf>
    <xf numFmtId="0" fontId="11" fillId="0" borderId="4" xfId="0" applyFont="1" applyBorder="1" applyAlignment="1">
      <alignment horizontal="center" vertical="center" shrinkToFit="1"/>
    </xf>
    <xf numFmtId="0" fontId="0" fillId="0" borderId="13" xfId="0" applyBorder="1" applyAlignment="1">
      <alignment horizontal="center" vertical="top" wrapText="1"/>
    </xf>
    <xf numFmtId="0" fontId="0" fillId="0" borderId="0" xfId="0" applyAlignment="1">
      <alignment horizontal="center" vertical="top" wrapText="1"/>
    </xf>
    <xf numFmtId="0" fontId="0" fillId="0" borderId="14" xfId="0" applyBorder="1" applyAlignment="1">
      <alignment horizontal="center" vertical="top"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54" fillId="2" borderId="7" xfId="0" applyFont="1" applyFill="1" applyBorder="1" applyAlignment="1" applyProtection="1">
      <alignment horizontal="center" vertical="center" shrinkToFit="1"/>
      <protection locked="0"/>
    </xf>
    <xf numFmtId="0" fontId="54" fillId="2" borderId="4" xfId="0" applyFont="1" applyFill="1" applyBorder="1" applyAlignment="1" applyProtection="1">
      <alignment horizontal="center" vertical="center" shrinkToFit="1"/>
      <protection locked="0"/>
    </xf>
    <xf numFmtId="0" fontId="16" fillId="0" borderId="13" xfId="0" applyFont="1" applyBorder="1" applyAlignment="1">
      <alignment horizontal="left" vertical="center" wrapText="1" shrinkToFit="1"/>
    </xf>
    <xf numFmtId="0" fontId="16" fillId="0" borderId="0" xfId="0" applyFont="1" applyAlignment="1">
      <alignment horizontal="left" vertical="center" wrapText="1" shrinkToFit="1"/>
    </xf>
    <xf numFmtId="0" fontId="16" fillId="0" borderId="14" xfId="0" applyFont="1" applyBorder="1" applyAlignment="1">
      <alignment horizontal="left" vertical="center" wrapText="1" shrinkToFit="1"/>
    </xf>
    <xf numFmtId="57" fontId="54" fillId="0" borderId="7" xfId="0" applyNumberFormat="1" applyFont="1" applyBorder="1" applyAlignment="1" applyProtection="1">
      <alignment horizontal="center" vertical="center" shrinkToFit="1"/>
      <protection locked="0"/>
    </xf>
    <xf numFmtId="57" fontId="54" fillId="0" borderId="4" xfId="0" applyNumberFormat="1" applyFont="1" applyBorder="1" applyAlignment="1" applyProtection="1">
      <alignment horizontal="center" vertical="center" shrinkToFit="1"/>
      <protection locked="0"/>
    </xf>
    <xf numFmtId="0" fontId="14" fillId="0" borderId="1" xfId="0" applyFont="1" applyBorder="1" applyAlignment="1" applyProtection="1">
      <alignment horizontal="left" vertical="top" wrapText="1"/>
      <protection locked="0"/>
    </xf>
    <xf numFmtId="0" fontId="23" fillId="0" borderId="2" xfId="0" applyFont="1" applyBorder="1" applyAlignment="1" applyProtection="1">
      <alignment horizontal="center" vertical="top" wrapText="1"/>
      <protection locked="0"/>
    </xf>
    <xf numFmtId="0" fontId="23" fillId="0" borderId="3" xfId="0" applyFont="1" applyBorder="1" applyAlignment="1" applyProtection="1">
      <alignment horizontal="center" vertical="top" wrapText="1"/>
      <protection locked="0"/>
    </xf>
    <xf numFmtId="0" fontId="54" fillId="0" borderId="74" xfId="0" applyFont="1" applyBorder="1" applyAlignment="1" applyProtection="1">
      <alignment horizontal="center" vertical="center"/>
      <protection locked="0"/>
    </xf>
    <xf numFmtId="0" fontId="54" fillId="0" borderId="75" xfId="0" applyFont="1" applyBorder="1" applyAlignment="1" applyProtection="1">
      <alignment horizontal="center" vertical="center"/>
      <protection locked="0"/>
    </xf>
    <xf numFmtId="57" fontId="54" fillId="0" borderId="13" xfId="0" applyNumberFormat="1" applyFont="1" applyBorder="1" applyAlignment="1" applyProtection="1">
      <alignment horizontal="left" vertical="top" shrinkToFit="1"/>
      <protection locked="0"/>
    </xf>
    <xf numFmtId="0" fontId="54" fillId="0" borderId="14" xfId="0" applyFont="1" applyBorder="1" applyAlignment="1" applyProtection="1">
      <alignment horizontal="left" vertical="top" shrinkToFit="1"/>
      <protection locked="0"/>
    </xf>
    <xf numFmtId="0" fontId="54" fillId="0" borderId="13" xfId="0" applyFont="1" applyBorder="1" applyAlignment="1" applyProtection="1">
      <alignment horizontal="left" vertical="top" shrinkToFit="1"/>
      <protection locked="0"/>
    </xf>
    <xf numFmtId="0" fontId="54" fillId="0" borderId="9" xfId="0" applyFont="1" applyBorder="1" applyAlignment="1" applyProtection="1">
      <alignment horizontal="left" vertical="top" shrinkToFit="1"/>
      <protection locked="0"/>
    </xf>
    <xf numFmtId="0" fontId="54" fillId="0" borderId="11" xfId="0" applyFont="1" applyBorder="1" applyAlignment="1" applyProtection="1">
      <alignment horizontal="left" vertical="top" shrinkToFit="1"/>
      <protection locked="0"/>
    </xf>
    <xf numFmtId="0" fontId="0" fillId="0" borderId="0" xfId="0" applyAlignment="1">
      <alignment horizontal="left" vertical="center" wrapText="1"/>
    </xf>
    <xf numFmtId="0" fontId="0" fillId="0" borderId="10" xfId="0" applyBorder="1" applyAlignment="1">
      <alignment horizontal="left" vertical="center" wrapText="1"/>
    </xf>
    <xf numFmtId="178" fontId="36" fillId="0" borderId="0" xfId="0" applyNumberFormat="1" applyFont="1" applyAlignment="1">
      <alignment horizontal="right" vertical="top"/>
    </xf>
    <xf numFmtId="178" fontId="39" fillId="0" borderId="0" xfId="0" applyNumberFormat="1" applyFont="1" applyAlignment="1">
      <alignment horizontal="left" shrinkToFit="1"/>
    </xf>
    <xf numFmtId="178" fontId="15" fillId="0" borderId="0" xfId="0" applyNumberFormat="1" applyFont="1" applyAlignment="1">
      <alignment horizontal="left" vertical="top" shrinkToFit="1"/>
    </xf>
    <xf numFmtId="178" fontId="40" fillId="0" borderId="0" xfId="0" applyNumberFormat="1" applyFont="1" applyAlignment="1">
      <alignment horizontal="center" shrinkToFit="1"/>
    </xf>
    <xf numFmtId="0" fontId="53" fillId="0" borderId="0" xfId="0" applyFont="1" applyAlignment="1">
      <alignment horizontal="right" shrinkToFit="1"/>
    </xf>
    <xf numFmtId="178" fontId="37" fillId="0" borderId="0" xfId="0" applyNumberFormat="1" applyFont="1" applyAlignment="1">
      <alignment horizontal="left" vertical="center" shrinkToFit="1"/>
    </xf>
    <xf numFmtId="0" fontId="34" fillId="0" borderId="0" xfId="0" applyFont="1" applyAlignment="1">
      <alignment horizontal="center" vertical="center" shrinkToFit="1"/>
    </xf>
    <xf numFmtId="38" fontId="34" fillId="0" borderId="0" xfId="0" applyNumberFormat="1" applyFont="1" applyAlignment="1">
      <alignment vertical="center" shrinkToFit="1"/>
    </xf>
    <xf numFmtId="38" fontId="34" fillId="0" borderId="0" xfId="0" applyNumberFormat="1" applyFont="1" applyAlignment="1">
      <alignment horizontal="right" shrinkToFit="1"/>
    </xf>
    <xf numFmtId="38" fontId="34" fillId="0" borderId="0" xfId="0" applyNumberFormat="1" applyFont="1" applyAlignment="1">
      <alignment horizontal="right" vertical="center" shrinkToFit="1"/>
    </xf>
    <xf numFmtId="0" fontId="34" fillId="0" borderId="0" xfId="0" applyFont="1" applyAlignment="1">
      <alignment horizontal="right" vertical="center" shrinkToFit="1"/>
    </xf>
    <xf numFmtId="0" fontId="34" fillId="0" borderId="0" xfId="1" applyNumberFormat="1" applyFont="1" applyFill="1" applyBorder="1" applyAlignment="1">
      <alignment horizontal="right" shrinkToFit="1"/>
    </xf>
    <xf numFmtId="0" fontId="0" fillId="0" borderId="1" xfId="0" applyBorder="1" applyAlignment="1">
      <alignment horizontal="center" shrinkToFit="1"/>
    </xf>
    <xf numFmtId="176" fontId="34" fillId="0" borderId="0" xfId="1" applyNumberFormat="1" applyFont="1" applyFill="1" applyBorder="1" applyAlignment="1">
      <alignment horizontal="right" vertical="center" shrinkToFit="1"/>
    </xf>
    <xf numFmtId="0" fontId="34" fillId="0" borderId="0" xfId="1" applyNumberFormat="1" applyFont="1" applyFill="1" applyBorder="1" applyAlignment="1">
      <alignment horizontal="right" vertical="center" shrinkToFit="1"/>
    </xf>
    <xf numFmtId="0" fontId="62" fillId="0" borderId="0" xfId="0" applyFont="1" applyAlignment="1">
      <alignment horizontal="left" vertical="center" shrinkToFit="1"/>
    </xf>
    <xf numFmtId="0" fontId="0" fillId="0" borderId="7" xfId="0" applyBorder="1" applyAlignment="1">
      <alignment horizontal="center" shrinkToFit="1"/>
    </xf>
    <xf numFmtId="0" fontId="0" fillId="0" borderId="4" xfId="0" applyBorder="1" applyAlignment="1">
      <alignment horizontal="center" shrinkToFit="1"/>
    </xf>
    <xf numFmtId="176" fontId="19" fillId="0" borderId="0" xfId="0" applyNumberFormat="1" applyFont="1" applyAlignment="1">
      <alignment horizontal="right" vertical="top" shrinkToFit="1"/>
    </xf>
    <xf numFmtId="0" fontId="34" fillId="0" borderId="0" xfId="0" applyFont="1" applyAlignment="1">
      <alignment horizontal="center"/>
    </xf>
    <xf numFmtId="176" fontId="34" fillId="0" borderId="0" xfId="1" applyNumberFormat="1" applyFont="1" applyFill="1" applyBorder="1" applyAlignment="1">
      <alignment horizontal="center" shrinkToFit="1"/>
    </xf>
    <xf numFmtId="176" fontId="34" fillId="0" borderId="0" xfId="1" applyNumberFormat="1" applyFont="1" applyFill="1" applyBorder="1" applyAlignment="1">
      <alignment horizontal="right" shrinkToFit="1"/>
    </xf>
    <xf numFmtId="0" fontId="0" fillId="0" borderId="7" xfId="0" applyBorder="1" applyAlignment="1">
      <alignment horizontal="center" vertical="top" shrinkToFit="1"/>
    </xf>
    <xf numFmtId="0" fontId="0" fillId="0" borderId="4" xfId="0" applyBorder="1" applyAlignment="1">
      <alignment horizontal="center" vertical="top" shrinkToFit="1"/>
    </xf>
    <xf numFmtId="0" fontId="34" fillId="0" borderId="0" xfId="2" applyNumberFormat="1" applyFont="1" applyFill="1" applyBorder="1" applyAlignment="1">
      <alignment horizontal="distributed" vertical="center"/>
    </xf>
    <xf numFmtId="178" fontId="15" fillId="0" borderId="0" xfId="0" applyNumberFormat="1" applyFont="1" applyAlignment="1">
      <alignment horizontal="center" vertical="center"/>
    </xf>
    <xf numFmtId="178" fontId="35" fillId="0" borderId="0" xfId="0" applyNumberFormat="1" applyFont="1" applyAlignment="1">
      <alignment horizontal="center" vertical="center"/>
    </xf>
    <xf numFmtId="178" fontId="35" fillId="0" borderId="0" xfId="0" applyNumberFormat="1" applyFont="1" applyAlignment="1">
      <alignment horizontal="center" vertical="center" shrinkToFi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19" fillId="0" borderId="8" xfId="0" applyFont="1" applyBorder="1" applyAlignment="1">
      <alignment horizontal="right" vertical="center"/>
    </xf>
    <xf numFmtId="0" fontId="19" fillId="0" borderId="0" xfId="0" applyFont="1" applyAlignment="1">
      <alignment horizontal="left" vertical="center" shrinkToFit="1"/>
    </xf>
    <xf numFmtId="0" fontId="34" fillId="0" borderId="0" xfId="0" applyFont="1" applyAlignment="1">
      <alignment horizontal="center" shrinkToFit="1"/>
    </xf>
    <xf numFmtId="57" fontId="36" fillId="0" borderId="0" xfId="0" applyNumberFormat="1" applyFont="1" applyAlignment="1">
      <alignment horizontal="left" vertical="center" shrinkToFit="1"/>
    </xf>
    <xf numFmtId="0" fontId="63" fillId="0" borderId="0" xfId="0" applyFont="1" applyAlignment="1">
      <alignment horizontal="left" vertical="top" wrapText="1"/>
    </xf>
    <xf numFmtId="178" fontId="34" fillId="0" borderId="0" xfId="0" applyNumberFormat="1" applyFont="1" applyAlignment="1">
      <alignment horizontal="center" vertical="center" shrinkToFit="1"/>
    </xf>
    <xf numFmtId="57" fontId="36" fillId="0" borderId="0" xfId="0" applyNumberFormat="1" applyFont="1" applyAlignment="1">
      <alignment horizontal="center" vertical="center" shrinkToFit="1"/>
    </xf>
    <xf numFmtId="182" fontId="36" fillId="0" borderId="0" xfId="0" applyNumberFormat="1" applyFont="1" applyAlignment="1">
      <alignment horizontal="right" vertical="top" shrinkToFit="1"/>
    </xf>
    <xf numFmtId="57" fontId="58" fillId="0" borderId="0" xfId="0" applyNumberFormat="1" applyFont="1" applyAlignment="1">
      <alignment horizontal="left"/>
    </xf>
    <xf numFmtId="0" fontId="59" fillId="0" borderId="0" xfId="0" applyFont="1" applyAlignment="1">
      <alignment horizontal="left"/>
    </xf>
    <xf numFmtId="176" fontId="19" fillId="0" borderId="0" xfId="0" applyNumberFormat="1" applyFont="1" applyAlignment="1">
      <alignment horizontal="center" vertical="center"/>
    </xf>
    <xf numFmtId="176" fontId="34" fillId="0" borderId="0" xfId="0" applyNumberFormat="1" applyFont="1" applyAlignment="1">
      <alignment horizontal="center" vertical="center"/>
    </xf>
    <xf numFmtId="176" fontId="34" fillId="0" borderId="0" xfId="0" applyNumberFormat="1" applyFont="1" applyAlignment="1">
      <alignment horizontal="center" vertical="top"/>
    </xf>
    <xf numFmtId="176" fontId="34" fillId="0" borderId="0" xfId="0" applyNumberFormat="1" applyFont="1" applyAlignment="1">
      <alignment horizontal="right" vertical="top"/>
    </xf>
    <xf numFmtId="176" fontId="34" fillId="0" borderId="0" xfId="1" applyNumberFormat="1" applyFont="1" applyFill="1" applyBorder="1" applyAlignment="1">
      <alignment horizontal="right" vertical="top" shrinkToFit="1"/>
    </xf>
    <xf numFmtId="0" fontId="62" fillId="0" borderId="0" xfId="0" applyFont="1" applyAlignment="1">
      <alignment horizontal="left" shrinkToFit="1"/>
    </xf>
    <xf numFmtId="178" fontId="39" fillId="0" borderId="0" xfId="0" applyNumberFormat="1" applyFont="1" applyAlignment="1">
      <alignment horizontal="left" vertical="center" shrinkToFit="1"/>
    </xf>
    <xf numFmtId="178" fontId="34" fillId="0" borderId="0" xfId="0" applyNumberFormat="1" applyFont="1" applyAlignment="1">
      <alignment horizontal="left" vertical="center" shrinkToFit="1"/>
    </xf>
    <xf numFmtId="0" fontId="0" fillId="10" borderId="17" xfId="0" applyFill="1" applyBorder="1" applyAlignment="1">
      <alignment horizontal="center" vertical="center" shrinkToFit="1"/>
    </xf>
    <xf numFmtId="0" fontId="0" fillId="10" borderId="18" xfId="0" applyFill="1" applyBorder="1" applyAlignment="1">
      <alignment horizontal="center" vertical="center" shrinkToFit="1"/>
    </xf>
    <xf numFmtId="0" fontId="0" fillId="7" borderId="17" xfId="0" applyFill="1" applyBorder="1" applyAlignment="1">
      <alignment horizontal="center" vertical="center" shrinkToFit="1"/>
    </xf>
    <xf numFmtId="0" fontId="0" fillId="7" borderId="18" xfId="0" applyFill="1" applyBorder="1" applyAlignment="1">
      <alignment horizontal="center" vertical="center" shrinkToFit="1"/>
    </xf>
    <xf numFmtId="0" fontId="0" fillId="10" borderId="25" xfId="0" applyFill="1" applyBorder="1" applyAlignment="1">
      <alignment horizontal="right" vertical="center" shrinkToFit="1"/>
    </xf>
    <xf numFmtId="0" fontId="0" fillId="10" borderId="26" xfId="0" applyFill="1" applyBorder="1" applyAlignment="1">
      <alignment horizontal="right" vertical="center" shrinkToFit="1"/>
    </xf>
    <xf numFmtId="0" fontId="0" fillId="7" borderId="7" xfId="0" applyFill="1" applyBorder="1" applyAlignment="1">
      <alignment horizontal="center" vertical="center" shrinkToFit="1"/>
    </xf>
    <xf numFmtId="0" fontId="0" fillId="7" borderId="4" xfId="0" applyFill="1" applyBorder="1" applyAlignment="1">
      <alignment horizontal="center" vertical="center" shrinkToFit="1"/>
    </xf>
    <xf numFmtId="0" fontId="0" fillId="7" borderId="5" xfId="0" applyFill="1" applyBorder="1" applyAlignment="1">
      <alignment horizontal="center" vertical="center" shrinkToFit="1"/>
    </xf>
    <xf numFmtId="0" fontId="0" fillId="7" borderId="6" xfId="0" applyFill="1" applyBorder="1" applyAlignment="1">
      <alignment horizontal="center" vertical="center" shrinkToFit="1"/>
    </xf>
    <xf numFmtId="0" fontId="61" fillId="0" borderId="0" xfId="0" applyFont="1" applyAlignment="1">
      <alignment horizontal="center" vertical="center" shrinkToFit="1"/>
    </xf>
    <xf numFmtId="0" fontId="61" fillId="0" borderId="93" xfId="0" applyFont="1" applyBorder="1" applyAlignment="1">
      <alignment horizontal="center" vertical="center" shrinkToFit="1"/>
    </xf>
    <xf numFmtId="0" fontId="0" fillId="8" borderId="9" xfId="0" applyFill="1" applyBorder="1" applyAlignment="1">
      <alignment horizontal="center" vertical="center" wrapText="1"/>
    </xf>
    <xf numFmtId="0" fontId="0" fillId="8" borderId="10" xfId="0" applyFill="1" applyBorder="1" applyAlignment="1">
      <alignment horizontal="center" vertical="center" wrapText="1"/>
    </xf>
    <xf numFmtId="0" fontId="0" fillId="8" borderId="11" xfId="0" applyFill="1" applyBorder="1" applyAlignment="1">
      <alignment horizontal="center" vertical="center" wrapText="1"/>
    </xf>
    <xf numFmtId="0" fontId="0" fillId="0" borderId="1" xfId="0" applyBorder="1" applyAlignment="1">
      <alignment horizontal="center" vertical="center"/>
    </xf>
    <xf numFmtId="0" fontId="22" fillId="7" borderId="5" xfId="0" applyFont="1" applyFill="1" applyBorder="1" applyAlignment="1">
      <alignment horizontal="left" vertical="center" wrapText="1" shrinkToFit="1"/>
    </xf>
    <xf numFmtId="0" fontId="22" fillId="7" borderId="6" xfId="0" applyFont="1" applyFill="1" applyBorder="1" applyAlignment="1">
      <alignment horizontal="left" vertical="center" wrapText="1" shrinkToFit="1"/>
    </xf>
    <xf numFmtId="0" fontId="22" fillId="7" borderId="13" xfId="0" applyFont="1" applyFill="1" applyBorder="1" applyAlignment="1">
      <alignment horizontal="left" vertical="center" wrapText="1" shrinkToFit="1"/>
    </xf>
    <xf numFmtId="0" fontId="22" fillId="7" borderId="14" xfId="0" applyFont="1" applyFill="1" applyBorder="1" applyAlignment="1">
      <alignment horizontal="left" vertical="center" wrapText="1" shrinkToFit="1"/>
    </xf>
    <xf numFmtId="0" fontId="22" fillId="7" borderId="9" xfId="0" applyFont="1" applyFill="1" applyBorder="1" applyAlignment="1">
      <alignment horizontal="left" vertical="center" wrapText="1" shrinkToFit="1"/>
    </xf>
    <xf numFmtId="0" fontId="22" fillId="7" borderId="11" xfId="0" applyFont="1" applyFill="1" applyBorder="1" applyAlignment="1">
      <alignment horizontal="left" vertical="center" wrapText="1" shrinkToFit="1"/>
    </xf>
    <xf numFmtId="0" fontId="0" fillId="0" borderId="76" xfId="0" applyBorder="1" applyAlignment="1">
      <alignment horizontal="center" vertical="center" justifyLastLine="1" shrinkToFit="1"/>
    </xf>
    <xf numFmtId="0" fontId="0" fillId="0" borderId="77" xfId="0" applyBorder="1" applyAlignment="1">
      <alignment horizontal="center" vertical="center" justifyLastLine="1" shrinkToFit="1"/>
    </xf>
    <xf numFmtId="0" fontId="0" fillId="0" borderId="78" xfId="0" applyBorder="1" applyAlignment="1">
      <alignment horizontal="center" vertical="center" justifyLastLine="1" shrinkToFit="1"/>
    </xf>
    <xf numFmtId="0" fontId="22" fillId="5" borderId="5" xfId="0" applyFont="1" applyFill="1" applyBorder="1" applyAlignment="1">
      <alignment horizontal="left" vertical="center" wrapText="1" shrinkToFit="1"/>
    </xf>
    <xf numFmtId="0" fontId="22" fillId="5" borderId="6" xfId="0" applyFont="1" applyFill="1" applyBorder="1" applyAlignment="1">
      <alignment horizontal="left" vertical="center" wrapText="1" shrinkToFit="1"/>
    </xf>
    <xf numFmtId="0" fontId="22" fillId="5" borderId="13" xfId="0" applyFont="1" applyFill="1" applyBorder="1" applyAlignment="1">
      <alignment horizontal="left" vertical="center" wrapText="1" shrinkToFit="1"/>
    </xf>
    <xf numFmtId="0" fontId="22" fillId="5" borderId="14" xfId="0" applyFont="1" applyFill="1" applyBorder="1" applyAlignment="1">
      <alignment horizontal="left" vertical="center" wrapText="1" shrinkToFit="1"/>
    </xf>
    <xf numFmtId="0" fontId="22" fillId="5" borderId="9" xfId="0" applyFont="1" applyFill="1" applyBorder="1" applyAlignment="1">
      <alignment horizontal="left" vertical="center" wrapText="1" shrinkToFit="1"/>
    </xf>
    <xf numFmtId="0" fontId="22" fillId="5" borderId="11" xfId="0" applyFont="1" applyFill="1" applyBorder="1" applyAlignment="1">
      <alignment horizontal="left" vertical="center" wrapText="1" shrinkToFit="1"/>
    </xf>
    <xf numFmtId="0" fontId="22" fillId="5" borderId="7" xfId="0" applyFont="1" applyFill="1" applyBorder="1" applyAlignment="1">
      <alignment horizontal="center" vertical="center" shrinkToFit="1"/>
    </xf>
    <xf numFmtId="0" fontId="22" fillId="5" borderId="4" xfId="0" applyFont="1" applyFill="1" applyBorder="1" applyAlignment="1">
      <alignment horizontal="center" vertical="center" shrinkToFit="1"/>
    </xf>
    <xf numFmtId="0" fontId="22" fillId="6" borderId="5" xfId="0" applyFont="1" applyFill="1" applyBorder="1" applyAlignment="1">
      <alignment horizontal="left" vertical="center" wrapText="1" shrinkToFit="1"/>
    </xf>
    <xf numFmtId="0" fontId="22" fillId="6" borderId="6" xfId="0" applyFont="1" applyFill="1" applyBorder="1" applyAlignment="1">
      <alignment horizontal="left" vertical="center" wrapText="1" shrinkToFit="1"/>
    </xf>
    <xf numFmtId="0" fontId="22" fillId="6" borderId="13" xfId="0" applyFont="1" applyFill="1" applyBorder="1" applyAlignment="1">
      <alignment horizontal="left" vertical="center" wrapText="1" shrinkToFit="1"/>
    </xf>
    <xf numFmtId="0" fontId="22" fillId="6" borderId="14" xfId="0" applyFont="1" applyFill="1" applyBorder="1" applyAlignment="1">
      <alignment horizontal="left" vertical="center" wrapText="1" shrinkToFit="1"/>
    </xf>
    <xf numFmtId="0" fontId="22" fillId="6" borderId="2" xfId="0" applyFont="1" applyFill="1" applyBorder="1" applyAlignment="1">
      <alignment horizontal="center" vertical="center" textRotation="255" wrapText="1" shrinkToFit="1"/>
    </xf>
    <xf numFmtId="0" fontId="22" fillId="6" borderId="15" xfId="0" applyFont="1" applyFill="1" applyBorder="1" applyAlignment="1">
      <alignment horizontal="center" vertical="center" textRotation="255" shrinkToFit="1"/>
    </xf>
    <xf numFmtId="0" fontId="22" fillId="6" borderId="3"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wrapText="1" shrinkToFit="1"/>
    </xf>
    <xf numFmtId="0" fontId="22" fillId="5" borderId="1" xfId="0" applyFont="1" applyFill="1" applyBorder="1" applyAlignment="1">
      <alignment horizontal="center" vertical="center" textRotation="255" shrinkToFit="1"/>
    </xf>
    <xf numFmtId="0" fontId="22" fillId="7" borderId="1" xfId="0" applyFont="1" applyFill="1" applyBorder="1" applyAlignment="1">
      <alignment horizontal="center" vertical="center" textRotation="255" wrapText="1"/>
    </xf>
    <xf numFmtId="0" fontId="14" fillId="0" borderId="5" xfId="0" applyFont="1" applyBorder="1" applyAlignment="1">
      <alignment horizontal="left" vertical="top" wrapText="1" shrinkToFit="1"/>
    </xf>
    <xf numFmtId="0" fontId="14" fillId="0" borderId="8" xfId="0" applyFont="1" applyBorder="1" applyAlignment="1">
      <alignment horizontal="left" vertical="top" wrapText="1" shrinkToFit="1"/>
    </xf>
    <xf numFmtId="0" fontId="14" fillId="0" borderId="6" xfId="0" applyFont="1" applyBorder="1" applyAlignment="1">
      <alignment horizontal="left" vertical="top" wrapText="1" shrinkToFit="1"/>
    </xf>
    <xf numFmtId="0" fontId="14" fillId="0" borderId="13" xfId="0" applyFont="1" applyBorder="1" applyAlignment="1">
      <alignment horizontal="left" vertical="top" wrapText="1" shrinkToFit="1"/>
    </xf>
    <xf numFmtId="0" fontId="14" fillId="0" borderId="0" xfId="0" applyFont="1" applyAlignment="1">
      <alignment horizontal="left" vertical="top" wrapText="1" shrinkToFit="1"/>
    </xf>
    <xf numFmtId="0" fontId="14" fillId="0" borderId="14" xfId="0" applyFont="1" applyBorder="1" applyAlignment="1">
      <alignment horizontal="left" vertical="top" wrapText="1" shrinkToFit="1"/>
    </xf>
    <xf numFmtId="0" fontId="67" fillId="0" borderId="109" xfId="0" applyFont="1" applyBorder="1" applyAlignment="1">
      <alignment horizontal="center" vertical="top" wrapText="1" shrinkToFit="1"/>
    </xf>
    <xf numFmtId="0" fontId="67" fillId="0" borderId="110" xfId="0" applyFont="1" applyBorder="1" applyAlignment="1">
      <alignment horizontal="center" vertical="top" wrapText="1" shrinkToFit="1"/>
    </xf>
    <xf numFmtId="0" fontId="67" fillId="0" borderId="20" xfId="0" applyFont="1" applyBorder="1" applyAlignment="1">
      <alignment horizontal="center" vertical="top" wrapText="1" shrinkToFit="1"/>
    </xf>
    <xf numFmtId="0" fontId="55" fillId="0" borderId="5" xfId="0" applyFont="1" applyBorder="1" applyAlignment="1">
      <alignment horizontal="left" vertical="center" shrinkToFit="1"/>
    </xf>
    <xf numFmtId="0" fontId="55" fillId="0" borderId="8" xfId="0" applyFont="1" applyBorder="1" applyAlignment="1">
      <alignment horizontal="left" vertical="center" shrinkToFit="1"/>
    </xf>
    <xf numFmtId="0" fontId="55" fillId="0" borderId="6" xfId="0" applyFont="1" applyBorder="1" applyAlignment="1">
      <alignment horizontal="left" vertical="center" shrinkToFit="1"/>
    </xf>
    <xf numFmtId="0" fontId="0" fillId="0" borderId="0" xfId="0" applyAlignment="1">
      <alignment horizontal="right" vertical="center"/>
    </xf>
    <xf numFmtId="0" fontId="0" fillId="0" borderId="8" xfId="0" applyBorder="1" applyAlignment="1">
      <alignment horizontal="center" vertical="center" shrinkToFit="1"/>
    </xf>
    <xf numFmtId="0" fontId="0" fillId="0" borderId="102" xfId="0" applyBorder="1" applyAlignment="1">
      <alignment horizontal="center" vertical="center" shrinkToFit="1"/>
    </xf>
    <xf numFmtId="0" fontId="0" fillId="0" borderId="6" xfId="0" applyBorder="1" applyAlignment="1">
      <alignment horizontal="center" vertical="center" shrinkToFit="1"/>
    </xf>
    <xf numFmtId="0" fontId="0" fillId="0" borderId="103" xfId="0" applyBorder="1" applyAlignment="1">
      <alignment horizontal="center" vertical="center" shrinkToFit="1"/>
    </xf>
    <xf numFmtId="0" fontId="0" fillId="0" borderId="104" xfId="0" applyBorder="1" applyAlignment="1">
      <alignment horizontal="center" vertical="center" shrinkToFit="1"/>
    </xf>
    <xf numFmtId="0" fontId="0" fillId="0" borderId="26" xfId="0" applyBorder="1" applyAlignment="1">
      <alignment horizontal="center" vertical="center" shrinkToFit="1"/>
    </xf>
    <xf numFmtId="0" fontId="0" fillId="0" borderId="43" xfId="0" applyBorder="1" applyAlignment="1">
      <alignment horizontal="center" vertical="center" shrinkToFit="1"/>
    </xf>
    <xf numFmtId="0" fontId="0" fillId="0" borderId="41" xfId="0"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101" xfId="0" applyBorder="1" applyAlignment="1">
      <alignment horizontal="center" vertical="center" shrinkToFit="1"/>
    </xf>
    <xf numFmtId="0" fontId="8" fillId="0" borderId="0" xfId="0" applyFont="1" applyAlignment="1">
      <alignment horizontal="center" vertical="center"/>
    </xf>
    <xf numFmtId="178" fontId="31" fillId="0" borderId="0" xfId="0" applyNumberFormat="1" applyFont="1" applyAlignment="1">
      <alignment horizontal="center" vertical="center" shrinkToFit="1"/>
    </xf>
    <xf numFmtId="0" fontId="0" fillId="2" borderId="1" xfId="0" applyFill="1" applyBorder="1" applyAlignment="1">
      <alignment horizontal="center" vertical="center"/>
    </xf>
    <xf numFmtId="178" fontId="30" fillId="0" borderId="0" xfId="0" applyNumberFormat="1" applyFont="1" applyAlignment="1">
      <alignment horizontal="center" vertical="center" shrinkToFit="1"/>
    </xf>
    <xf numFmtId="176" fontId="32" fillId="0" borderId="0" xfId="0" applyNumberFormat="1" applyFont="1" applyAlignment="1">
      <alignment horizontal="right" shrinkToFit="1"/>
    </xf>
    <xf numFmtId="0" fontId="30" fillId="0" borderId="0" xfId="0" applyFont="1" applyAlignment="1">
      <alignment horizontal="center" vertical="center" shrinkToFit="1"/>
    </xf>
    <xf numFmtId="178" fontId="8" fillId="0" borderId="1" xfId="0" applyNumberFormat="1" applyFont="1" applyBorder="1" applyAlignment="1">
      <alignment horizontal="center" vertical="center" shrinkToFit="1"/>
    </xf>
    <xf numFmtId="0" fontId="30" fillId="2" borderId="2" xfId="0" applyFont="1" applyFill="1" applyBorder="1" applyAlignment="1">
      <alignment horizontal="center" vertical="center"/>
    </xf>
    <xf numFmtId="0" fontId="30" fillId="2" borderId="15" xfId="0" applyFont="1" applyFill="1" applyBorder="1" applyAlignment="1">
      <alignment horizontal="center" vertical="center"/>
    </xf>
    <xf numFmtId="0" fontId="30" fillId="2" borderId="3" xfId="0" applyFont="1" applyFill="1" applyBorder="1" applyAlignment="1">
      <alignment horizontal="center" vertical="center"/>
    </xf>
    <xf numFmtId="178" fontId="30" fillId="0" borderId="0" xfId="0" applyNumberFormat="1" applyFont="1" applyAlignment="1">
      <alignment horizontal="center" vertical="top" shrinkToFit="1"/>
    </xf>
    <xf numFmtId="178" fontId="33" fillId="0" borderId="0" xfId="0" applyNumberFormat="1" applyFont="1" applyAlignment="1">
      <alignment horizontal="right" wrapText="1" shrinkToFit="1"/>
    </xf>
    <xf numFmtId="176" fontId="31" fillId="0" borderId="0" xfId="0" applyNumberFormat="1" applyFont="1" applyAlignment="1">
      <alignment horizontal="center" wrapText="1"/>
    </xf>
    <xf numFmtId="178" fontId="31" fillId="0" borderId="1" xfId="0" applyNumberFormat="1" applyFont="1" applyBorder="1" applyAlignment="1">
      <alignment horizontal="center" shrinkToFit="1"/>
    </xf>
    <xf numFmtId="178" fontId="26" fillId="0" borderId="0" xfId="0" applyNumberFormat="1" applyFont="1" applyAlignment="1">
      <alignment horizontal="left" vertical="center" shrinkToFit="1"/>
    </xf>
    <xf numFmtId="178" fontId="30" fillId="0" borderId="0" xfId="0" applyNumberFormat="1" applyFont="1" applyAlignment="1">
      <alignment horizontal="center" shrinkToFit="1"/>
    </xf>
    <xf numFmtId="176" fontId="3" fillId="0" borderId="0" xfId="0" applyNumberFormat="1" applyFont="1" applyAlignment="1">
      <alignment horizontal="right" vertical="center" shrinkToFit="1"/>
    </xf>
    <xf numFmtId="176" fontId="3" fillId="0" borderId="0" xfId="1" applyNumberFormat="1" applyFont="1" applyFill="1" applyBorder="1" applyAlignment="1">
      <alignment horizontal="right" vertical="center" shrinkToFit="1"/>
    </xf>
    <xf numFmtId="178" fontId="32" fillId="0" borderId="0" xfId="0" applyNumberFormat="1" applyFont="1" applyAlignment="1">
      <alignment horizontal="center" vertical="center" shrinkToFit="1"/>
    </xf>
    <xf numFmtId="178" fontId="31" fillId="0" borderId="0" xfId="0" applyNumberFormat="1" applyFont="1" applyAlignment="1">
      <alignment horizontal="left" vertical="center" shrinkToFit="1"/>
    </xf>
    <xf numFmtId="177" fontId="40" fillId="0" borderId="0" xfId="0" applyNumberFormat="1" applyFont="1" applyAlignment="1">
      <alignment horizontal="center" vertical="center" shrinkToFit="1"/>
    </xf>
    <xf numFmtId="0" fontId="0" fillId="0" borderId="0" xfId="0" applyAlignment="1">
      <alignment horizontal="center" vertical="center"/>
    </xf>
    <xf numFmtId="0" fontId="41" fillId="0" borderId="0" xfId="0" applyFont="1" applyAlignment="1">
      <alignment horizontal="center"/>
    </xf>
    <xf numFmtId="178" fontId="53" fillId="0" borderId="0" xfId="0" applyNumberFormat="1" applyFont="1" applyAlignment="1">
      <alignment horizontal="left" vertical="center" shrinkToFit="1"/>
    </xf>
    <xf numFmtId="0" fontId="39" fillId="0" borderId="0" xfId="0" applyFont="1" applyAlignment="1">
      <alignment horizontal="left" shrinkToFit="1"/>
    </xf>
    <xf numFmtId="0" fontId="39" fillId="0" borderId="0" xfId="0" applyFont="1" applyAlignment="1">
      <alignment horizontal="right" vertical="center" shrinkToFit="1"/>
    </xf>
    <xf numFmtId="178" fontId="30" fillId="0" borderId="0" xfId="0" applyNumberFormat="1" applyFont="1" applyAlignment="1">
      <alignment horizontal="right" shrinkToFit="1"/>
    </xf>
    <xf numFmtId="0" fontId="0" fillId="2" borderId="12" xfId="0" applyFill="1" applyBorder="1" applyAlignment="1">
      <alignment horizontal="center" vertical="center"/>
    </xf>
    <xf numFmtId="0" fontId="0" fillId="2" borderId="4" xfId="0" applyFill="1" applyBorder="1" applyAlignment="1">
      <alignment horizontal="center" vertical="center"/>
    </xf>
    <xf numFmtId="178" fontId="40" fillId="0" borderId="0" xfId="0" applyNumberFormat="1" applyFont="1" applyAlignment="1">
      <alignment horizontal="center" vertical="center" shrinkToFit="1"/>
    </xf>
    <xf numFmtId="180" fontId="5" fillId="0" borderId="0" xfId="0" applyNumberFormat="1" applyFont="1" applyAlignment="1">
      <alignment horizontal="center" vertical="center" shrinkToFit="1"/>
    </xf>
    <xf numFmtId="180" fontId="5" fillId="0" borderId="0" xfId="1" applyNumberFormat="1" applyFont="1" applyFill="1" applyBorder="1" applyAlignment="1">
      <alignment horizontal="center" vertical="center" shrinkToFit="1"/>
    </xf>
    <xf numFmtId="178" fontId="31" fillId="0" borderId="5" xfId="0" applyNumberFormat="1" applyFont="1" applyBorder="1" applyAlignment="1">
      <alignment horizontal="center" shrinkToFit="1"/>
    </xf>
    <xf numFmtId="178" fontId="31" fillId="0" borderId="8" xfId="0" applyNumberFormat="1" applyFont="1" applyBorder="1" applyAlignment="1">
      <alignment horizontal="center" shrinkToFit="1"/>
    </xf>
    <xf numFmtId="178" fontId="31" fillId="0" borderId="6" xfId="0" applyNumberFormat="1" applyFont="1" applyBorder="1" applyAlignment="1">
      <alignment horizontal="center" shrinkToFit="1"/>
    </xf>
    <xf numFmtId="178" fontId="31" fillId="0" borderId="9" xfId="0" applyNumberFormat="1" applyFont="1" applyBorder="1" applyAlignment="1">
      <alignment horizontal="center" shrinkToFit="1"/>
    </xf>
    <xf numFmtId="178" fontId="31" fillId="0" borderId="10" xfId="0" applyNumberFormat="1" applyFont="1" applyBorder="1" applyAlignment="1">
      <alignment horizontal="center" shrinkToFit="1"/>
    </xf>
    <xf numFmtId="178" fontId="31" fillId="0" borderId="11" xfId="0" applyNumberFormat="1" applyFont="1" applyBorder="1" applyAlignment="1">
      <alignment horizontal="center" shrinkToFit="1"/>
    </xf>
    <xf numFmtId="178" fontId="31" fillId="0" borderId="0" xfId="0" applyNumberFormat="1" applyFont="1" applyAlignment="1">
      <alignment horizontal="center" shrinkToFit="1"/>
    </xf>
    <xf numFmtId="179" fontId="31" fillId="0" borderId="7" xfId="0" applyNumberFormat="1" applyFont="1" applyBorder="1" applyAlignment="1">
      <alignment horizontal="center" shrinkToFit="1"/>
    </xf>
    <xf numFmtId="179" fontId="31" fillId="0" borderId="4" xfId="0" applyNumberFormat="1" applyFont="1" applyBorder="1" applyAlignment="1">
      <alignment horizontal="center" shrinkToFit="1"/>
    </xf>
    <xf numFmtId="176" fontId="32" fillId="0" borderId="0" xfId="0" applyNumberFormat="1" applyFont="1" applyAlignment="1">
      <alignment horizontal="right" vertical="center" shrinkToFit="1"/>
    </xf>
    <xf numFmtId="0" fontId="3" fillId="0" borderId="1" xfId="0" applyFont="1" applyBorder="1" applyAlignment="1">
      <alignment horizontal="center" vertical="center" shrinkToFit="1"/>
    </xf>
    <xf numFmtId="176" fontId="3" fillId="0" borderId="0" xfId="0" applyNumberFormat="1" applyFont="1" applyAlignment="1">
      <alignment horizontal="right" shrinkToFit="1"/>
    </xf>
    <xf numFmtId="0" fontId="3" fillId="2" borderId="1" xfId="0" applyFont="1" applyFill="1" applyBorder="1" applyAlignment="1">
      <alignment horizontal="center" vertical="center" shrinkToFit="1"/>
    </xf>
    <xf numFmtId="178" fontId="33" fillId="0" borderId="0" xfId="0" applyNumberFormat="1" applyFont="1" applyAlignment="1">
      <alignment horizontal="right" vertical="center" shrinkToFit="1"/>
    </xf>
    <xf numFmtId="38" fontId="21" fillId="0" borderId="0" xfId="1" applyFont="1" applyBorder="1" applyAlignment="1">
      <alignment horizontal="center" vertical="center" shrinkToFit="1"/>
    </xf>
    <xf numFmtId="180" fontId="21" fillId="0" borderId="0" xfId="0" applyNumberFormat="1" applyFont="1" applyAlignment="1">
      <alignment horizontal="center" vertical="center" shrinkToFit="1"/>
    </xf>
    <xf numFmtId="180" fontId="21" fillId="0" borderId="0" xfId="0" applyNumberFormat="1" applyFont="1" applyAlignment="1">
      <alignment horizontal="center" shrinkToFit="1"/>
    </xf>
    <xf numFmtId="178" fontId="5" fillId="0" borderId="0" xfId="0" applyNumberFormat="1" applyFont="1" applyAlignment="1">
      <alignment horizontal="center" vertical="center" shrinkToFit="1"/>
    </xf>
    <xf numFmtId="0" fontId="30" fillId="0" borderId="2" xfId="0" applyFont="1" applyBorder="1" applyAlignment="1">
      <alignment horizontal="center" vertical="center"/>
    </xf>
    <xf numFmtId="0" fontId="30" fillId="0" borderId="15" xfId="0" applyFont="1" applyBorder="1" applyAlignment="1">
      <alignment horizontal="center" vertical="center"/>
    </xf>
    <xf numFmtId="0" fontId="30" fillId="0" borderId="3" xfId="0"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Alignment="1">
      <alignment horizontal="center" vertical="center" wrapText="1"/>
    </xf>
    <xf numFmtId="176" fontId="5" fillId="0" borderId="0" xfId="1" applyNumberFormat="1" applyFont="1" applyFill="1" applyBorder="1" applyAlignment="1">
      <alignment horizontal="center" vertical="center" shrinkToFit="1"/>
    </xf>
    <xf numFmtId="0" fontId="5" fillId="0" borderId="0" xfId="0" applyFont="1" applyAlignment="1">
      <alignment horizontal="center" vertical="center" wrapText="1"/>
    </xf>
    <xf numFmtId="0" fontId="43" fillId="0" borderId="5" xfId="0" applyFont="1" applyBorder="1" applyAlignment="1">
      <alignment horizontal="left" vertical="top" wrapText="1"/>
    </xf>
    <xf numFmtId="0" fontId="43" fillId="0" borderId="8" xfId="0" applyFont="1" applyBorder="1" applyAlignment="1">
      <alignment horizontal="left" vertical="top" wrapText="1"/>
    </xf>
    <xf numFmtId="0" fontId="43" fillId="0" borderId="6" xfId="0" applyFont="1" applyBorder="1" applyAlignment="1">
      <alignment horizontal="left" vertical="top" wrapText="1"/>
    </xf>
    <xf numFmtId="0" fontId="43" fillId="0" borderId="13" xfId="0" applyFont="1" applyBorder="1" applyAlignment="1">
      <alignment horizontal="left" vertical="top" wrapText="1"/>
    </xf>
    <xf numFmtId="0" fontId="43" fillId="0" borderId="0" xfId="0" applyFont="1" applyAlignment="1">
      <alignment horizontal="left" vertical="top" wrapText="1"/>
    </xf>
    <xf numFmtId="0" fontId="43" fillId="0" borderId="14" xfId="0" applyFont="1" applyBorder="1" applyAlignment="1">
      <alignment horizontal="left" vertical="top" wrapText="1"/>
    </xf>
    <xf numFmtId="0" fontId="43" fillId="0" borderId="9" xfId="0" applyFont="1" applyBorder="1" applyAlignment="1">
      <alignment horizontal="left" vertical="top" wrapText="1"/>
    </xf>
    <xf numFmtId="0" fontId="43" fillId="0" borderId="10" xfId="0" applyFont="1" applyBorder="1" applyAlignment="1">
      <alignment horizontal="left" vertical="top" wrapText="1"/>
    </xf>
    <xf numFmtId="0" fontId="43" fillId="0" borderId="11" xfId="0" applyFont="1" applyBorder="1" applyAlignment="1">
      <alignment horizontal="left" vertical="top" wrapText="1"/>
    </xf>
    <xf numFmtId="0" fontId="35" fillId="0" borderId="5" xfId="0" applyFont="1" applyBorder="1" applyAlignment="1">
      <alignment horizontal="left" vertical="center" wrapText="1"/>
    </xf>
    <xf numFmtId="0" fontId="35" fillId="0" borderId="8" xfId="0" applyFont="1" applyBorder="1" applyAlignment="1">
      <alignment horizontal="left" vertical="center" wrapText="1"/>
    </xf>
    <xf numFmtId="0" fontId="35" fillId="0" borderId="6" xfId="0" applyFont="1" applyBorder="1" applyAlignment="1">
      <alignment horizontal="left" vertical="center" wrapText="1"/>
    </xf>
    <xf numFmtId="0" fontId="35" fillId="0" borderId="9" xfId="0" applyFont="1" applyBorder="1" applyAlignment="1">
      <alignment horizontal="left" vertical="center" wrapText="1"/>
    </xf>
    <xf numFmtId="0" fontId="35" fillId="0" borderId="10" xfId="0" applyFont="1" applyBorder="1" applyAlignment="1">
      <alignment horizontal="left" vertical="center" wrapText="1"/>
    </xf>
    <xf numFmtId="0" fontId="35" fillId="0" borderId="11" xfId="0" applyFont="1" applyBorder="1" applyAlignment="1">
      <alignment horizontal="left" vertical="center" wrapText="1"/>
    </xf>
    <xf numFmtId="0" fontId="0" fillId="2" borderId="7" xfId="0" applyFill="1" applyBorder="1" applyAlignment="1">
      <alignment horizontal="center" vertical="center"/>
    </xf>
    <xf numFmtId="176" fontId="32" fillId="0" borderId="0" xfId="0" applyNumberFormat="1" applyFont="1" applyAlignment="1">
      <alignment horizontal="right" vertical="top" shrinkToFit="1"/>
    </xf>
    <xf numFmtId="0" fontId="30" fillId="0" borderId="1" xfId="0" applyFont="1" applyBorder="1" applyAlignment="1">
      <alignment horizontal="center" vertical="center" shrinkToFit="1"/>
    </xf>
    <xf numFmtId="176" fontId="3" fillId="0" borderId="0" xfId="1" applyNumberFormat="1" applyFont="1" applyBorder="1" applyAlignment="1">
      <alignment horizontal="right" shrinkToFit="1"/>
    </xf>
    <xf numFmtId="176" fontId="32" fillId="0" borderId="0" xfId="0" applyNumberFormat="1" applyFont="1" applyAlignment="1">
      <alignment horizontal="center" vertical="top" shrinkToFit="1"/>
    </xf>
    <xf numFmtId="0" fontId="30" fillId="2" borderId="1" xfId="0" applyFont="1" applyFill="1" applyBorder="1" applyAlignment="1">
      <alignment horizontal="center" vertical="center" shrinkToFit="1"/>
    </xf>
  </cellXfs>
  <cellStyles count="3">
    <cellStyle name="桁区切り" xfId="1" builtinId="6"/>
    <cellStyle name="通貨" xfId="2" builtinId="7"/>
    <cellStyle name="標準" xfId="0" builtinId="0"/>
  </cellStyles>
  <dxfs count="61">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patternType="solid">
          <bgColor theme="0" tint="-0.499984740745262"/>
        </patternFill>
      </fill>
    </dxf>
    <dxf>
      <fill>
        <patternFill>
          <bgColor theme="5" tint="0.39994506668294322"/>
        </patternFill>
      </fill>
    </dxf>
    <dxf>
      <fill>
        <patternFill>
          <bgColor theme="5" tint="0.79998168889431442"/>
        </patternFill>
      </fill>
    </dxf>
    <dxf>
      <fill>
        <patternFill>
          <bgColor theme="7" tint="0.39994506668294322"/>
        </patternFill>
      </fill>
    </dxf>
    <dxf>
      <fill>
        <patternFill>
          <bgColor theme="7" tint="0.79998168889431442"/>
        </patternFill>
      </fill>
    </dxf>
    <dxf>
      <fill>
        <patternFill>
          <bgColor theme="9" tint="0.39994506668294322"/>
        </patternFill>
      </fill>
    </dxf>
    <dxf>
      <fill>
        <patternFill>
          <bgColor theme="9" tint="0.79998168889431442"/>
        </patternFill>
      </fill>
    </dxf>
    <dxf>
      <fill>
        <patternFill>
          <bgColor rgb="FFFF0000"/>
        </patternFill>
      </fill>
    </dxf>
    <dxf>
      <fill>
        <patternFill>
          <bgColor theme="4" tint="0.79998168889431442"/>
        </patternFill>
      </fill>
    </dxf>
    <dxf>
      <fill>
        <patternFill>
          <bgColor theme="4" tint="0.39994506668294322"/>
        </patternFill>
      </fill>
    </dxf>
    <dxf>
      <fill>
        <patternFill>
          <bgColor theme="0" tint="-0.499984740745262"/>
        </patternFill>
      </fill>
    </dxf>
    <dxf>
      <fill>
        <patternFill>
          <bgColor theme="1" tint="0.34998626667073579"/>
        </patternFill>
      </fill>
    </dxf>
    <dxf>
      <fill>
        <patternFill>
          <bgColor rgb="FFFF0066"/>
        </patternFill>
      </fill>
    </dxf>
    <dxf>
      <fill>
        <patternFill>
          <bgColor theme="4" tint="0.3999450666829432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lightHorizontal"/>
      </fill>
    </dxf>
    <dxf>
      <fill>
        <patternFill>
          <bgColor theme="4" tint="0.59996337778862885"/>
        </patternFill>
      </fill>
    </dxf>
    <dxf>
      <fill>
        <patternFill>
          <bgColor theme="0" tint="-4.9989318521683403E-2"/>
        </patternFill>
      </fill>
    </dxf>
    <dxf>
      <fill>
        <patternFill>
          <bgColor theme="4" tint="0.59996337778862885"/>
        </patternFill>
      </fill>
    </dxf>
    <dxf>
      <fill>
        <patternFill>
          <bgColor rgb="FFFF0000"/>
        </patternFill>
      </fill>
    </dxf>
    <dxf>
      <fill>
        <patternFill patternType="lightHorizontal">
          <bgColor auto="1"/>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lightHorizontal"/>
      </fill>
    </dxf>
    <dxf>
      <fill>
        <patternFill>
          <bgColor theme="4" tint="0.59996337778862885"/>
        </patternFill>
      </fill>
    </dxf>
    <dxf>
      <fill>
        <patternFill>
          <bgColor theme="0" tint="-4.9989318521683403E-2"/>
        </patternFill>
      </fill>
    </dxf>
    <dxf>
      <fill>
        <patternFill>
          <bgColor theme="4" tint="0.59996337778862885"/>
        </patternFill>
      </fill>
    </dxf>
    <dxf>
      <fill>
        <patternFill>
          <bgColor rgb="FFFF0000"/>
        </patternFill>
      </fill>
    </dxf>
    <dxf>
      <fill>
        <patternFill patternType="lightHorizontal">
          <bgColor auto="1"/>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rgb="FFFF0000"/>
        </patternFill>
      </fill>
    </dxf>
    <dxf>
      <fill>
        <patternFill>
          <bgColor theme="4" tint="0.59996337778862885"/>
        </patternFill>
      </fill>
    </dxf>
    <dxf>
      <fill>
        <patternFill>
          <bgColor theme="4" tint="0.59996337778862885"/>
        </patternFill>
      </fill>
    </dxf>
    <dxf>
      <font>
        <strike val="0"/>
      </font>
      <fill>
        <patternFill>
          <bgColor theme="4" tint="0.59996337778862885"/>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 Id="rId9"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18</xdr:col>
      <xdr:colOff>452438</xdr:colOff>
      <xdr:row>48</xdr:row>
      <xdr:rowOff>71437</xdr:rowOff>
    </xdr:from>
    <xdr:to>
      <xdr:col>35</xdr:col>
      <xdr:colOff>106026</xdr:colOff>
      <xdr:row>100</xdr:row>
      <xdr:rowOff>71438</xdr:rowOff>
    </xdr:to>
    <xdr:pic>
      <xdr:nvPicPr>
        <xdr:cNvPr id="2" name="図 1">
          <a:extLst>
            <a:ext uri="{FF2B5EF4-FFF2-40B4-BE49-F238E27FC236}">
              <a16:creationId xmlns:a16="http://schemas.microsoft.com/office/drawing/2014/main" id="{C4263441-B37A-419E-BF82-FDDB83BB2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97238" y="10777537"/>
          <a:ext cx="11093113" cy="762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18</xdr:col>
          <xdr:colOff>675410</xdr:colOff>
          <xdr:row>49</xdr:row>
          <xdr:rowOff>169332</xdr:rowOff>
        </xdr:from>
        <xdr:to>
          <xdr:col>34</xdr:col>
          <xdr:colOff>228600</xdr:colOff>
          <xdr:row>98</xdr:row>
          <xdr:rowOff>63500</xdr:rowOff>
        </xdr:to>
        <xdr:pic>
          <xdr:nvPicPr>
            <xdr:cNvPr id="3" name="図 2">
              <a:extLst>
                <a:ext uri="{FF2B5EF4-FFF2-40B4-BE49-F238E27FC236}">
                  <a16:creationId xmlns:a16="http://schemas.microsoft.com/office/drawing/2014/main" id="{92A7AF4B-5E3B-49F6-99E4-2F9EDEB8610F}"/>
                </a:ext>
              </a:extLst>
            </xdr:cNvPr>
            <xdr:cNvPicPr>
              <a:picLocks noChangeAspect="1" noChangeArrowheads="1"/>
              <a:extLst>
                <a:ext uri="{84589F7E-364E-4C9E-8A38-B11213B215E9}">
                  <a14:cameraTool cellRange="$AN$51:$CS$98" spid="_x0000_s136182"/>
                </a:ext>
              </a:extLst>
            </xdr:cNvPicPr>
          </xdr:nvPicPr>
          <xdr:blipFill>
            <a:blip xmlns:r="http://schemas.openxmlformats.org/officeDocument/2006/relationships" r:embed="rId2"/>
            <a:srcRect/>
            <a:stretch>
              <a:fillRect/>
            </a:stretch>
          </xdr:blipFill>
          <xdr:spPr bwMode="auto">
            <a:xfrm>
              <a:off x="11953010" y="11046882"/>
              <a:ext cx="10583140" cy="699029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18</xdr:col>
      <xdr:colOff>370419</xdr:colOff>
      <xdr:row>99</xdr:row>
      <xdr:rowOff>84665</xdr:rowOff>
    </xdr:from>
    <xdr:to>
      <xdr:col>35</xdr:col>
      <xdr:colOff>254000</xdr:colOff>
      <xdr:row>149</xdr:row>
      <xdr:rowOff>0</xdr:rowOff>
    </xdr:to>
    <xdr:pic>
      <xdr:nvPicPr>
        <xdr:cNvPr id="4" name="図 3">
          <a:extLst>
            <a:ext uri="{FF2B5EF4-FFF2-40B4-BE49-F238E27FC236}">
              <a16:creationId xmlns:a16="http://schemas.microsoft.com/office/drawing/2014/main" id="{A32EE6F8-A599-4827-A43D-BF1CA234E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15219" y="18258365"/>
          <a:ext cx="11323106" cy="792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455083</xdr:colOff>
      <xdr:row>47</xdr:row>
      <xdr:rowOff>10583</xdr:rowOff>
    </xdr:from>
    <xdr:to>
      <xdr:col>35</xdr:col>
      <xdr:colOff>116417</xdr:colOff>
      <xdr:row>48</xdr:row>
      <xdr:rowOff>84667</xdr:rowOff>
    </xdr:to>
    <xdr:sp macro="" textlink="">
      <xdr:nvSpPr>
        <xdr:cNvPr id="5" name="正方形/長方形 4">
          <a:extLst>
            <a:ext uri="{FF2B5EF4-FFF2-40B4-BE49-F238E27FC236}">
              <a16:creationId xmlns:a16="http://schemas.microsoft.com/office/drawing/2014/main" id="{1DC878A8-E2FF-46C0-BCD3-A94CA6DA3179}"/>
            </a:ext>
          </a:extLst>
        </xdr:cNvPr>
        <xdr:cNvSpPr/>
      </xdr:nvSpPr>
      <xdr:spPr>
        <a:xfrm>
          <a:off x="15999883" y="10545233"/>
          <a:ext cx="11100859" cy="24553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104774</xdr:colOff>
      <xdr:row>13</xdr:row>
      <xdr:rowOff>152401</xdr:rowOff>
    </xdr:from>
    <xdr:to>
      <xdr:col>10</xdr:col>
      <xdr:colOff>352425</xdr:colOff>
      <xdr:row>16</xdr:row>
      <xdr:rowOff>142875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a:xfrm>
          <a:off x="4676774" y="1238251"/>
          <a:ext cx="2209801" cy="704849"/>
        </a:xfrm>
        <a:prstGeom prst="wedgeRectCallout">
          <a:avLst>
            <a:gd name="adj1" fmla="val -93381"/>
            <a:gd name="adj2" fmla="val 19098"/>
          </a:avLst>
        </a:prstGeom>
        <a:solidFill>
          <a:srgbClr val="FFFF00"/>
        </a:solidFill>
        <a:ln w="222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iDeCo</a:t>
          </a:r>
          <a:r>
            <a:rPr kumimoji="1" lang="ja-JP" altLang="en-US" sz="1100"/>
            <a:t>（イデコ・個人型確定拠出年金）掛金　はこちらへ</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204107</xdr:colOff>
      <xdr:row>0</xdr:row>
      <xdr:rowOff>104775</xdr:rowOff>
    </xdr:from>
    <xdr:to>
      <xdr:col>52</xdr:col>
      <xdr:colOff>95250</xdr:colOff>
      <xdr:row>51</xdr:row>
      <xdr:rowOff>47625</xdr:rowOff>
    </xdr:to>
    <xdr:pic>
      <xdr:nvPicPr>
        <xdr:cNvPr id="26" name="図 25">
          <a:extLst>
            <a:ext uri="{FF2B5EF4-FFF2-40B4-BE49-F238E27FC236}">
              <a16:creationId xmlns:a16="http://schemas.microsoft.com/office/drawing/2014/main" id="{A09F5419-B28A-410D-AF6C-BD9A488A8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4832" y="104775"/>
          <a:ext cx="10635343" cy="744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33</xdr:col>
          <xdr:colOff>31750</xdr:colOff>
          <xdr:row>12</xdr:row>
          <xdr:rowOff>10584</xdr:rowOff>
        </xdr:from>
        <xdr:to>
          <xdr:col>51</xdr:col>
          <xdr:colOff>20106</xdr:colOff>
          <xdr:row>27</xdr:row>
          <xdr:rowOff>29726</xdr:rowOff>
        </xdr:to>
        <xdr:pic>
          <xdr:nvPicPr>
            <xdr:cNvPr id="18" name="図 17">
              <a:extLst>
                <a:ext uri="{FF2B5EF4-FFF2-40B4-BE49-F238E27FC236}">
                  <a16:creationId xmlns:a16="http://schemas.microsoft.com/office/drawing/2014/main" id="{00000000-0008-0000-0300-000012000000}"/>
                </a:ext>
              </a:extLst>
            </xdr:cNvPr>
            <xdr:cNvPicPr>
              <a:picLocks noChangeAspect="1" noChangeArrowheads="1"/>
              <a:extLst>
                <a:ext uri="{84589F7E-364E-4C9E-8A38-B11213B215E9}">
                  <a14:cameraTool cellRange="$CZ$12:$EF$26" spid="_x0000_s165070"/>
                </a:ext>
              </a:extLst>
            </xdr:cNvPicPr>
          </xdr:nvPicPr>
          <xdr:blipFill>
            <a:blip xmlns:r="http://schemas.openxmlformats.org/officeDocument/2006/relationships" r:embed="rId2"/>
            <a:srcRect/>
            <a:stretch>
              <a:fillRect/>
            </a:stretch>
          </xdr:blipFill>
          <xdr:spPr bwMode="auto">
            <a:xfrm>
              <a:off x="8540750" y="2053167"/>
              <a:ext cx="4179356" cy="224164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85725</xdr:colOff>
          <xdr:row>38</xdr:row>
          <xdr:rowOff>91046</xdr:rowOff>
        </xdr:from>
        <xdr:to>
          <xdr:col>50</xdr:col>
          <xdr:colOff>76200</xdr:colOff>
          <xdr:row>50</xdr:row>
          <xdr:rowOff>63032</xdr:rowOff>
        </xdr:to>
        <xdr:pic>
          <xdr:nvPicPr>
            <xdr:cNvPr id="22" name="図 21">
              <a:extLst>
                <a:ext uri="{FF2B5EF4-FFF2-40B4-BE49-F238E27FC236}">
                  <a16:creationId xmlns:a16="http://schemas.microsoft.com/office/drawing/2014/main" id="{00000000-0008-0000-0300-000016000000}"/>
                </a:ext>
              </a:extLst>
            </xdr:cNvPr>
            <xdr:cNvPicPr>
              <a:picLocks noChangeAspect="1" noChangeArrowheads="1"/>
              <a:extLst>
                <a:ext uri="{84589F7E-364E-4C9E-8A38-B11213B215E9}">
                  <a14:cameraTool cellRange="$EA$40:$EE$49" spid="_x0000_s165071"/>
                </a:ext>
              </a:extLst>
            </xdr:cNvPicPr>
          </xdr:nvPicPr>
          <xdr:blipFill>
            <a:blip xmlns:r="http://schemas.openxmlformats.org/officeDocument/2006/relationships" r:embed="rId3"/>
            <a:srcRect/>
            <a:stretch>
              <a:fillRect/>
            </a:stretch>
          </xdr:blipFill>
          <xdr:spPr bwMode="auto">
            <a:xfrm>
              <a:off x="11788868" y="5778031"/>
              <a:ext cx="683839" cy="1568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137582</xdr:colOff>
          <xdr:row>1</xdr:row>
          <xdr:rowOff>148168</xdr:rowOff>
        </xdr:from>
        <xdr:to>
          <xdr:col>45</xdr:col>
          <xdr:colOff>105833</xdr:colOff>
          <xdr:row>8</xdr:row>
          <xdr:rowOff>1</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a:extLst>
                <a:ext uri="{84589F7E-364E-4C9E-8A38-B11213B215E9}">
                  <a14:cameraTool cellRange="$EQ$2:$FA$6" spid="_x0000_s165072"/>
                </a:ext>
              </a:extLst>
            </xdr:cNvPicPr>
          </xdr:nvPicPr>
          <xdr:blipFill>
            <a:blip xmlns:r="http://schemas.openxmlformats.org/officeDocument/2006/relationships" r:embed="rId4"/>
            <a:srcRect/>
            <a:stretch>
              <a:fillRect/>
            </a:stretch>
          </xdr:blipFill>
          <xdr:spPr bwMode="auto">
            <a:xfrm>
              <a:off x="5991127" y="468554"/>
              <a:ext cx="3120161" cy="10034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203998</xdr:colOff>
          <xdr:row>29</xdr:row>
          <xdr:rowOff>33007</xdr:rowOff>
        </xdr:from>
        <xdr:to>
          <xdr:col>51</xdr:col>
          <xdr:colOff>46547</xdr:colOff>
          <xdr:row>35</xdr:row>
          <xdr:rowOff>86021</xdr:rowOff>
        </xdr:to>
        <xdr:pic>
          <xdr:nvPicPr>
            <xdr:cNvPr id="4" name="図 3">
              <a:extLst>
                <a:ext uri="{FF2B5EF4-FFF2-40B4-BE49-F238E27FC236}">
                  <a16:creationId xmlns:a16="http://schemas.microsoft.com/office/drawing/2014/main" id="{00000000-0008-0000-0300-000004000000}"/>
                </a:ext>
              </a:extLst>
            </xdr:cNvPr>
            <xdr:cNvPicPr>
              <a:picLocks noChangeAspect="1" noChangeArrowheads="1"/>
              <a:extLst>
                <a:ext uri="{84589F7E-364E-4C9E-8A38-B11213B215E9}">
                  <a14:cameraTool cellRange="$CZ$29:$EF$34" spid="_x0000_s165073"/>
                </a:ext>
              </a:extLst>
            </xdr:cNvPicPr>
          </xdr:nvPicPr>
          <xdr:blipFill>
            <a:blip xmlns:r="http://schemas.openxmlformats.org/officeDocument/2006/relationships" r:embed="rId5"/>
            <a:srcRect/>
            <a:stretch>
              <a:fillRect/>
            </a:stretch>
          </xdr:blipFill>
          <xdr:spPr bwMode="auto">
            <a:xfrm>
              <a:off x="8341661" y="4540127"/>
              <a:ext cx="4170212" cy="90198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47626</xdr:colOff>
      <xdr:row>53</xdr:row>
      <xdr:rowOff>11905</xdr:rowOff>
    </xdr:from>
    <xdr:to>
      <xdr:col>54</xdr:col>
      <xdr:colOff>142876</xdr:colOff>
      <xdr:row>100</xdr:row>
      <xdr:rowOff>209550</xdr:rowOff>
    </xdr:to>
    <xdr:pic>
      <xdr:nvPicPr>
        <xdr:cNvPr id="7" name="図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8351" y="7803355"/>
          <a:ext cx="11277600" cy="780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88451</xdr:colOff>
          <xdr:row>2</xdr:row>
          <xdr:rowOff>4481</xdr:rowOff>
        </xdr:from>
        <xdr:to>
          <xdr:col>27</xdr:col>
          <xdr:colOff>161925</xdr:colOff>
          <xdr:row>8</xdr:row>
          <xdr:rowOff>654</xdr:rowOff>
        </xdr:to>
        <xdr:pic>
          <xdr:nvPicPr>
            <xdr:cNvPr id="25" name="図 24">
              <a:extLst>
                <a:ext uri="{FF2B5EF4-FFF2-40B4-BE49-F238E27FC236}">
                  <a16:creationId xmlns:a16="http://schemas.microsoft.com/office/drawing/2014/main" id="{00000000-0008-0000-0300-000019000000}"/>
                </a:ext>
              </a:extLst>
            </xdr:cNvPr>
            <xdr:cNvPicPr>
              <a:picLocks noChangeAspect="1" noChangeArrowheads="1"/>
              <a:extLst>
                <a:ext uri="{84589F7E-364E-4C9E-8A38-B11213B215E9}">
                  <a14:cameraTool cellRange="$FE$2:$FX$7" spid="_x0000_s165074"/>
                </a:ext>
              </a:extLst>
            </xdr:cNvPicPr>
          </xdr:nvPicPr>
          <xdr:blipFill>
            <a:blip xmlns:r="http://schemas.openxmlformats.org/officeDocument/2006/relationships" r:embed="rId7"/>
            <a:srcRect/>
            <a:stretch>
              <a:fillRect/>
            </a:stretch>
          </xdr:blipFill>
          <xdr:spPr bwMode="auto">
            <a:xfrm>
              <a:off x="2307776" y="490256"/>
              <a:ext cx="4874074" cy="96454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70908</xdr:colOff>
          <xdr:row>12</xdr:row>
          <xdr:rowOff>23283</xdr:rowOff>
        </xdr:from>
        <xdr:to>
          <xdr:col>25</xdr:col>
          <xdr:colOff>42334</xdr:colOff>
          <xdr:row>32</xdr:row>
          <xdr:rowOff>43295</xdr:rowOff>
        </xdr:to>
        <xdr:pic>
          <xdr:nvPicPr>
            <xdr:cNvPr id="3" name="図 2">
              <a:extLst>
                <a:ext uri="{FF2B5EF4-FFF2-40B4-BE49-F238E27FC236}">
                  <a16:creationId xmlns:a16="http://schemas.microsoft.com/office/drawing/2014/main" id="{D7571568-3E0B-39B1-C1C1-4C1B6C20DFA1}"/>
                </a:ext>
              </a:extLst>
            </xdr:cNvPr>
            <xdr:cNvPicPr>
              <a:picLocks noChangeAspect="1" noChangeArrowheads="1"/>
              <a:extLst>
                <a:ext uri="{84589F7E-364E-4C9E-8A38-B11213B215E9}">
                  <a14:cameraTool cellRange="$BJ$14:$CC$33" spid="_x0000_s165075"/>
                </a:ext>
              </a:extLst>
            </xdr:cNvPicPr>
          </xdr:nvPicPr>
          <xdr:blipFill>
            <a:blip xmlns:r="http://schemas.openxmlformats.org/officeDocument/2006/relationships" r:embed="rId8"/>
            <a:srcRect/>
            <a:stretch>
              <a:fillRect/>
            </a:stretch>
          </xdr:blipFill>
          <xdr:spPr bwMode="auto">
            <a:xfrm>
              <a:off x="2737908" y="2101465"/>
              <a:ext cx="3798744" cy="298142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0</xdr:row>
          <xdr:rowOff>200024</xdr:rowOff>
        </xdr:from>
        <xdr:to>
          <xdr:col>48</xdr:col>
          <xdr:colOff>85725</xdr:colOff>
          <xdr:row>1</xdr:row>
          <xdr:rowOff>46741</xdr:rowOff>
        </xdr:to>
        <xdr:pic>
          <xdr:nvPicPr>
            <xdr:cNvPr id="8" name="図 7">
              <a:extLst>
                <a:ext uri="{FF2B5EF4-FFF2-40B4-BE49-F238E27FC236}">
                  <a16:creationId xmlns:a16="http://schemas.microsoft.com/office/drawing/2014/main" id="{5E095695-F877-32F3-2F0C-17C678C6B448}"/>
                </a:ext>
              </a:extLst>
            </xdr:cNvPr>
            <xdr:cNvPicPr>
              <a:picLocks noChangeAspect="1" noChangeArrowheads="1"/>
              <a:extLst>
                <a:ext uri="{84589F7E-364E-4C9E-8A38-B11213B215E9}">
                  <a14:cameraTool cellRange="$FJ$11:$FO$11" spid="_x0000_s165076"/>
                </a:ext>
              </a:extLst>
            </xdr:cNvPicPr>
          </xdr:nvPicPr>
          <xdr:blipFill>
            <a:blip xmlns:r="http://schemas.openxmlformats.org/officeDocument/2006/relationships" r:embed="rId9"/>
            <a:srcRect/>
            <a:stretch>
              <a:fillRect/>
            </a:stretch>
          </xdr:blipFill>
          <xdr:spPr bwMode="auto">
            <a:xfrm>
              <a:off x="10296525" y="200024"/>
              <a:ext cx="1609725" cy="17056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12</xdr:row>
          <xdr:rowOff>21167</xdr:rowOff>
        </xdr:from>
        <xdr:to>
          <xdr:col>32</xdr:col>
          <xdr:colOff>12699</xdr:colOff>
          <xdr:row>32</xdr:row>
          <xdr:rowOff>25977</xdr:rowOff>
        </xdr:to>
        <xdr:pic>
          <xdr:nvPicPr>
            <xdr:cNvPr id="9" name="図 8">
              <a:extLst>
                <a:ext uri="{FF2B5EF4-FFF2-40B4-BE49-F238E27FC236}">
                  <a16:creationId xmlns:a16="http://schemas.microsoft.com/office/drawing/2014/main" id="{AADAF805-EEF8-DB8B-0BB1-513367947D41}"/>
                </a:ext>
              </a:extLst>
            </xdr:cNvPr>
            <xdr:cNvPicPr>
              <a:picLocks noChangeAspect="1" noChangeArrowheads="1"/>
              <a:extLst>
                <a:ext uri="{84589F7E-364E-4C9E-8A38-B11213B215E9}">
                  <a14:cameraTool cellRange="$CD$14:$CL$33" spid="_x0000_s165077"/>
                </a:ext>
              </a:extLst>
            </xdr:cNvPicPr>
          </xdr:nvPicPr>
          <xdr:blipFill>
            <a:blip xmlns:r="http://schemas.openxmlformats.org/officeDocument/2006/relationships" r:embed="rId10"/>
            <a:srcRect/>
            <a:stretch>
              <a:fillRect/>
            </a:stretch>
          </xdr:blipFill>
          <xdr:spPr bwMode="auto">
            <a:xfrm>
              <a:off x="6526068" y="2099349"/>
              <a:ext cx="1556904" cy="296621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51954</xdr:colOff>
          <xdr:row>32</xdr:row>
          <xdr:rowOff>86591</xdr:rowOff>
        </xdr:from>
        <xdr:to>
          <xdr:col>31</xdr:col>
          <xdr:colOff>199159</xdr:colOff>
          <xdr:row>52</xdr:row>
          <xdr:rowOff>11256</xdr:rowOff>
        </xdr:to>
        <xdr:pic>
          <xdr:nvPicPr>
            <xdr:cNvPr id="5" name="図 4">
              <a:extLst>
                <a:ext uri="{FF2B5EF4-FFF2-40B4-BE49-F238E27FC236}">
                  <a16:creationId xmlns:a16="http://schemas.microsoft.com/office/drawing/2014/main" id="{32E046FE-3D11-5E85-EF81-382882FCBB2E}"/>
                </a:ext>
              </a:extLst>
            </xdr:cNvPr>
            <xdr:cNvPicPr>
              <a:picLocks noChangeAspect="1" noChangeArrowheads="1"/>
              <a:extLst>
                <a:ext uri="{84589F7E-364E-4C9E-8A38-B11213B215E9}">
                  <a14:cameraTool cellRange="$BJ$34:$CL$52" spid="_x0000_s165078"/>
                </a:ext>
              </a:extLst>
            </xdr:cNvPicPr>
          </xdr:nvPicPr>
          <xdr:blipFill>
            <a:blip xmlns:r="http://schemas.openxmlformats.org/officeDocument/2006/relationships" r:embed="rId11"/>
            <a:srcRect/>
            <a:stretch>
              <a:fillRect/>
            </a:stretch>
          </xdr:blipFill>
          <xdr:spPr bwMode="auto">
            <a:xfrm>
              <a:off x="2718954" y="5126182"/>
              <a:ext cx="5325341" cy="2634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140"/>
  <sheetViews>
    <sheetView topLeftCell="A7" zoomScaleNormal="100" workbookViewId="0">
      <selection activeCell="E28" sqref="E28"/>
    </sheetView>
  </sheetViews>
  <sheetFormatPr defaultRowHeight="13.5"/>
  <cols>
    <col min="1" max="1" width="2.875" customWidth="1"/>
    <col min="2" max="2" width="6.375" customWidth="1"/>
    <col min="3" max="3" width="13.25" customWidth="1"/>
    <col min="4" max="4" width="9.5" customWidth="1"/>
    <col min="5" max="8" width="8.75" customWidth="1"/>
    <col min="9" max="9" width="11.25" customWidth="1"/>
    <col min="10" max="11" width="8.5" customWidth="1"/>
    <col min="12" max="13" width="8.75" style="4" customWidth="1"/>
  </cols>
  <sheetData>
    <row r="1" spans="2:15" ht="15.75" customHeight="1">
      <c r="B1" t="s">
        <v>74</v>
      </c>
      <c r="C1" s="25" t="s">
        <v>472</v>
      </c>
      <c r="D1" s="123">
        <v>45657</v>
      </c>
      <c r="E1" s="611" t="s">
        <v>475</v>
      </c>
      <c r="F1" s="665" t="s">
        <v>14</v>
      </c>
      <c r="G1" s="665"/>
      <c r="H1" s="660" t="s">
        <v>498</v>
      </c>
      <c r="I1" s="660"/>
      <c r="J1" s="660"/>
      <c r="L1" s="108" t="s">
        <v>99</v>
      </c>
      <c r="M1" s="25" t="str">
        <f>'①入力(基礎控除)'!C5</f>
        <v>あああ１</v>
      </c>
      <c r="N1" s="25" t="s">
        <v>97</v>
      </c>
      <c r="O1" s="5" t="str">
        <f>IFERROR(IF(F7=1,VLOOKUP(M1,L:M,2,FALSE),""),"")</f>
        <v/>
      </c>
    </row>
    <row r="2" spans="2:15" ht="15.75" customHeight="1">
      <c r="C2" s="25" t="s">
        <v>225</v>
      </c>
      <c r="D2" s="123">
        <v>45666</v>
      </c>
      <c r="F2" s="665" t="s">
        <v>15</v>
      </c>
      <c r="G2" s="665"/>
      <c r="H2" s="661" t="s">
        <v>499</v>
      </c>
      <c r="I2" s="661"/>
      <c r="J2" s="661"/>
      <c r="L2"/>
      <c r="N2" s="4"/>
    </row>
    <row r="3" spans="2:15" ht="15.75" customHeight="1">
      <c r="C3" s="25" t="s">
        <v>314</v>
      </c>
      <c r="D3" s="164">
        <f ca="1">TODAY()</f>
        <v>45571</v>
      </c>
      <c r="F3" s="666" t="s">
        <v>95</v>
      </c>
      <c r="G3" s="666"/>
      <c r="H3" s="660" t="s">
        <v>500</v>
      </c>
      <c r="I3" s="660"/>
      <c r="J3" s="660"/>
      <c r="L3"/>
      <c r="M3" t="s">
        <v>473</v>
      </c>
      <c r="N3" s="4"/>
    </row>
    <row r="4" spans="2:15" ht="15.75" customHeight="1">
      <c r="F4" s="665" t="s">
        <v>13</v>
      </c>
      <c r="G4" s="665"/>
      <c r="H4" s="660" t="s">
        <v>501</v>
      </c>
      <c r="I4" s="660"/>
      <c r="J4" s="660"/>
      <c r="L4"/>
      <c r="M4" t="s">
        <v>474</v>
      </c>
      <c r="N4" s="4"/>
    </row>
    <row r="5" spans="2:15" ht="15.75" customHeight="1">
      <c r="L5" s="25" t="s">
        <v>98</v>
      </c>
      <c r="M5" s="99" t="s">
        <v>96</v>
      </c>
      <c r="O5" s="2"/>
    </row>
    <row r="6" spans="2:15" ht="15.75" customHeight="1">
      <c r="B6" s="608" t="s">
        <v>476</v>
      </c>
      <c r="C6" s="47" t="s">
        <v>497</v>
      </c>
      <c r="D6" s="47"/>
      <c r="E6" s="47"/>
      <c r="F6" s="47"/>
      <c r="G6" s="47"/>
      <c r="H6" s="47"/>
      <c r="I6" s="612" t="s">
        <v>156</v>
      </c>
      <c r="J6" s="585" t="s">
        <v>157</v>
      </c>
      <c r="K6" s="48"/>
      <c r="L6" s="38"/>
      <c r="M6" s="25">
        <v>0</v>
      </c>
      <c r="O6" s="4"/>
    </row>
    <row r="7" spans="2:15" ht="15.75" customHeight="1">
      <c r="B7" s="22"/>
      <c r="C7" s="49" t="s">
        <v>496</v>
      </c>
      <c r="D7" s="49"/>
      <c r="E7" s="171"/>
      <c r="F7" s="83" t="s">
        <v>157</v>
      </c>
      <c r="G7" s="662" t="s">
        <v>495</v>
      </c>
      <c r="H7" s="663"/>
      <c r="I7" s="663"/>
      <c r="J7" s="663"/>
      <c r="K7" s="664"/>
      <c r="L7" s="86" t="s">
        <v>478</v>
      </c>
      <c r="M7" s="25">
        <v>1</v>
      </c>
    </row>
    <row r="8" spans="2:15" ht="15.75" customHeight="1">
      <c r="F8" s="2"/>
      <c r="L8" s="86" t="s">
        <v>479</v>
      </c>
      <c r="M8" s="25">
        <v>2</v>
      </c>
    </row>
    <row r="9" spans="2:15" ht="15.75" customHeight="1">
      <c r="B9" s="608" t="s">
        <v>477</v>
      </c>
      <c r="C9" s="47" t="s">
        <v>381</v>
      </c>
      <c r="D9" s="54"/>
      <c r="E9" s="47"/>
      <c r="F9" s="47"/>
      <c r="G9" s="47"/>
      <c r="H9" s="47"/>
      <c r="I9" s="83" t="s">
        <v>265</v>
      </c>
      <c r="L9" s="86"/>
      <c r="M9" s="25">
        <v>3</v>
      </c>
    </row>
    <row r="10" spans="2:15" ht="15.75" customHeight="1">
      <c r="B10" s="44"/>
      <c r="C10" s="62" t="s">
        <v>137</v>
      </c>
      <c r="D10" s="1" t="s">
        <v>330</v>
      </c>
      <c r="F10" s="1"/>
      <c r="G10" s="1"/>
      <c r="H10" s="1"/>
      <c r="I10" s="45"/>
      <c r="L10" s="86"/>
      <c r="M10" s="25">
        <v>4</v>
      </c>
    </row>
    <row r="11" spans="2:15" ht="15.75" customHeight="1">
      <c r="B11" s="44"/>
      <c r="C11" s="40" t="s">
        <v>136</v>
      </c>
      <c r="D11" s="1" t="s">
        <v>331</v>
      </c>
      <c r="H11" s="1"/>
      <c r="I11" s="45"/>
      <c r="L11" s="86"/>
      <c r="M11" s="25">
        <v>5</v>
      </c>
    </row>
    <row r="12" spans="2:15" ht="15.75" customHeight="1">
      <c r="B12" s="22"/>
      <c r="C12" s="49"/>
      <c r="D12" s="49"/>
      <c r="E12" s="49"/>
      <c r="F12" s="347"/>
      <c r="G12" s="49"/>
      <c r="H12" s="49"/>
      <c r="I12" s="50"/>
      <c r="L12" s="86"/>
      <c r="M12" s="25">
        <v>6</v>
      </c>
    </row>
    <row r="13" spans="2:15" ht="15.75" customHeight="1">
      <c r="B13" s="608" t="s">
        <v>481</v>
      </c>
      <c r="C13" s="47" t="s">
        <v>480</v>
      </c>
      <c r="D13" s="47"/>
      <c r="E13" s="47"/>
      <c r="F13" s="47"/>
      <c r="G13" s="47"/>
      <c r="H13" s="47"/>
      <c r="I13" s="71" t="s">
        <v>139</v>
      </c>
      <c r="L13" s="86"/>
      <c r="M13" s="25">
        <v>7</v>
      </c>
    </row>
    <row r="14" spans="2:15" ht="15.75" customHeight="1">
      <c r="B14" s="44"/>
      <c r="C14" s="62" t="s">
        <v>138</v>
      </c>
      <c r="D14" s="1" t="s">
        <v>332</v>
      </c>
      <c r="E14" s="1"/>
      <c r="F14" s="1"/>
      <c r="I14" s="45"/>
      <c r="L14" s="86"/>
      <c r="M14" s="25">
        <v>8</v>
      </c>
    </row>
    <row r="15" spans="2:15" ht="15.75" customHeight="1">
      <c r="B15" s="44"/>
      <c r="C15" s="40" t="s">
        <v>140</v>
      </c>
      <c r="D15" t="s">
        <v>212</v>
      </c>
      <c r="E15" s="2"/>
      <c r="I15" s="45"/>
      <c r="L15" s="86"/>
      <c r="M15" s="25">
        <v>9</v>
      </c>
    </row>
    <row r="16" spans="2:15" ht="15.75" customHeight="1">
      <c r="B16" s="44" t="s">
        <v>356</v>
      </c>
      <c r="F16" s="2"/>
      <c r="I16" s="45"/>
      <c r="L16" s="86"/>
      <c r="M16" s="25">
        <v>10</v>
      </c>
    </row>
    <row r="17" spans="2:15" ht="15.75" customHeight="1">
      <c r="B17" s="651" t="s">
        <v>198</v>
      </c>
      <c r="C17" s="652"/>
      <c r="D17" s="652"/>
      <c r="E17" s="652"/>
      <c r="F17" s="652"/>
      <c r="G17" s="652"/>
      <c r="H17" s="652"/>
      <c r="I17" s="653"/>
      <c r="L17" s="86"/>
      <c r="M17" s="25">
        <v>11</v>
      </c>
    </row>
    <row r="18" spans="2:15" ht="15.75" customHeight="1">
      <c r="B18" s="44" t="s">
        <v>357</v>
      </c>
      <c r="D18" s="580"/>
      <c r="I18" s="45"/>
      <c r="L18" s="86"/>
      <c r="M18" s="25">
        <v>12</v>
      </c>
      <c r="O18" s="4"/>
    </row>
    <row r="19" spans="2:15" ht="15.75" customHeight="1">
      <c r="B19" s="654" t="s">
        <v>361</v>
      </c>
      <c r="C19" s="655"/>
      <c r="D19" s="655"/>
      <c r="E19" s="655"/>
      <c r="F19" s="655"/>
      <c r="G19" s="655"/>
      <c r="H19" s="655"/>
      <c r="I19" s="656"/>
      <c r="L19" s="86"/>
      <c r="M19" s="25">
        <v>13</v>
      </c>
      <c r="O19" s="4"/>
    </row>
    <row r="20" spans="2:15" ht="15.75" customHeight="1">
      <c r="B20" s="657"/>
      <c r="C20" s="658"/>
      <c r="D20" s="658"/>
      <c r="E20" s="658"/>
      <c r="F20" s="658"/>
      <c r="G20" s="658"/>
      <c r="H20" s="658"/>
      <c r="I20" s="659"/>
      <c r="J20" s="1"/>
      <c r="L20" s="86"/>
      <c r="M20" s="25">
        <v>14</v>
      </c>
      <c r="O20" s="4"/>
    </row>
    <row r="21" spans="2:15" ht="15.75" customHeight="1">
      <c r="L21" s="86"/>
      <c r="M21" s="25">
        <v>15</v>
      </c>
      <c r="O21" s="4"/>
    </row>
    <row r="22" spans="2:15" ht="15.75" customHeight="1">
      <c r="B22" s="608" t="s">
        <v>483</v>
      </c>
      <c r="C22" s="579" t="s">
        <v>482</v>
      </c>
      <c r="D22" s="47"/>
      <c r="E22" s="47"/>
      <c r="F22" s="47"/>
      <c r="G22" s="47"/>
      <c r="H22" s="47"/>
      <c r="I22" s="71" t="s">
        <v>139</v>
      </c>
      <c r="J22" s="1"/>
      <c r="K22" s="1"/>
      <c r="L22" s="86"/>
      <c r="M22" s="25">
        <v>16</v>
      </c>
      <c r="O22" s="4"/>
    </row>
    <row r="23" spans="2:15" ht="15.75" customHeight="1">
      <c r="B23" s="44"/>
      <c r="C23" s="62" t="s">
        <v>138</v>
      </c>
      <c r="D23" s="2"/>
      <c r="I23" s="45"/>
      <c r="K23" s="1"/>
      <c r="L23" s="86"/>
      <c r="M23" s="25">
        <v>17</v>
      </c>
      <c r="O23" s="4"/>
    </row>
    <row r="24" spans="2:15" ht="15.75" customHeight="1">
      <c r="B24" s="581"/>
      <c r="C24" s="40" t="s">
        <v>140</v>
      </c>
      <c r="D24" s="610" t="s">
        <v>485</v>
      </c>
      <c r="E24" t="s">
        <v>484</v>
      </c>
      <c r="I24" s="5" t="s">
        <v>358</v>
      </c>
      <c r="K24" s="1"/>
      <c r="L24" s="86"/>
      <c r="M24" s="25">
        <v>18</v>
      </c>
      <c r="O24" s="4"/>
    </row>
    <row r="25" spans="2:15" ht="15.75" customHeight="1">
      <c r="B25" s="581"/>
      <c r="C25" s="1"/>
      <c r="E25" s="62" t="s">
        <v>138</v>
      </c>
      <c r="G25" s="648" t="s">
        <v>320</v>
      </c>
      <c r="H25" s="649"/>
      <c r="I25" s="650"/>
      <c r="K25" s="1"/>
      <c r="L25" s="86"/>
      <c r="M25" s="25">
        <v>19</v>
      </c>
      <c r="O25" s="4"/>
    </row>
    <row r="26" spans="2:15" ht="15.75" customHeight="1">
      <c r="B26" s="582"/>
      <c r="C26" s="215"/>
      <c r="D26" s="49"/>
      <c r="E26" s="40" t="s">
        <v>140</v>
      </c>
      <c r="F26" s="49"/>
      <c r="G26" s="49"/>
      <c r="H26" s="49"/>
      <c r="I26" s="50"/>
      <c r="K26" s="1"/>
      <c r="L26" s="86"/>
      <c r="M26" s="25">
        <v>20</v>
      </c>
      <c r="O26" s="4"/>
    </row>
    <row r="27" spans="2:15" ht="15.75" customHeight="1">
      <c r="K27" s="1"/>
      <c r="L27" s="86"/>
      <c r="M27" s="25">
        <v>21</v>
      </c>
      <c r="O27" s="4"/>
    </row>
    <row r="28" spans="2:15" ht="15.75" customHeight="1">
      <c r="B28" s="16" t="s">
        <v>345</v>
      </c>
      <c r="C28" s="579"/>
      <c r="D28" s="54"/>
      <c r="E28" s="71">
        <v>2</v>
      </c>
      <c r="F28" s="637" t="str">
        <f>VLOOKUP(E28,C30:D31,2)</f>
        <v>提出は不要です。</v>
      </c>
      <c r="G28" s="638"/>
      <c r="H28" s="638"/>
      <c r="I28" s="639"/>
      <c r="K28" s="1"/>
      <c r="L28" s="86"/>
      <c r="M28" s="25">
        <v>22</v>
      </c>
      <c r="O28" s="4"/>
    </row>
    <row r="29" spans="2:15" ht="15.75" customHeight="1">
      <c r="B29" s="609" t="s">
        <v>486</v>
      </c>
      <c r="C29" t="s">
        <v>346</v>
      </c>
      <c r="D29" s="2"/>
      <c r="E29" s="2"/>
      <c r="F29" s="2"/>
      <c r="I29" s="45"/>
      <c r="K29" s="1"/>
      <c r="L29" s="86"/>
      <c r="M29" s="25">
        <v>23</v>
      </c>
      <c r="O29" s="4"/>
    </row>
    <row r="30" spans="2:15" ht="15.75" customHeight="1">
      <c r="B30" s="44"/>
      <c r="C30" s="5">
        <v>1</v>
      </c>
      <c r="D30" s="642" t="s">
        <v>366</v>
      </c>
      <c r="E30" s="643"/>
      <c r="F30" s="643"/>
      <c r="G30" s="643"/>
      <c r="H30" s="643"/>
      <c r="I30" s="644"/>
      <c r="K30" s="1"/>
      <c r="L30" s="86"/>
      <c r="M30" s="25">
        <v>24</v>
      </c>
      <c r="O30" s="4"/>
    </row>
    <row r="31" spans="2:15" ht="15.75" customHeight="1">
      <c r="B31" s="22"/>
      <c r="C31" s="5">
        <v>2</v>
      </c>
      <c r="D31" s="645" t="s">
        <v>145</v>
      </c>
      <c r="E31" s="646"/>
      <c r="F31" s="646"/>
      <c r="G31" s="646"/>
      <c r="H31" s="646"/>
      <c r="I31" s="647"/>
      <c r="K31" s="1"/>
      <c r="L31" s="86"/>
      <c r="M31" s="25">
        <v>25</v>
      </c>
      <c r="O31" s="4"/>
    </row>
    <row r="32" spans="2:15" ht="15.75" customHeight="1">
      <c r="B32" s="16"/>
      <c r="C32" s="579"/>
      <c r="D32" s="579"/>
      <c r="E32" s="47"/>
      <c r="F32" s="47"/>
      <c r="G32" s="47"/>
      <c r="H32" s="47"/>
      <c r="I32" s="48"/>
      <c r="L32" s="86"/>
      <c r="M32" s="25">
        <v>26</v>
      </c>
      <c r="O32" s="4"/>
    </row>
    <row r="33" spans="2:15" ht="15.75" customHeight="1">
      <c r="B33" s="608" t="s">
        <v>489</v>
      </c>
      <c r="C33" s="47" t="s">
        <v>487</v>
      </c>
      <c r="D33" s="47"/>
      <c r="E33" s="47"/>
      <c r="F33" s="47"/>
      <c r="G33" s="47"/>
      <c r="H33" s="47"/>
      <c r="I33" s="83" t="s">
        <v>156</v>
      </c>
      <c r="L33" s="86"/>
      <c r="M33" s="25">
        <v>27</v>
      </c>
      <c r="O33" s="4"/>
    </row>
    <row r="34" spans="2:15" ht="15.75" customHeight="1">
      <c r="B34" s="44"/>
      <c r="C34" s="25" t="s">
        <v>156</v>
      </c>
      <c r="F34" t="s">
        <v>488</v>
      </c>
      <c r="I34" s="45"/>
      <c r="L34" s="86"/>
      <c r="M34" s="25">
        <v>28</v>
      </c>
      <c r="O34" s="4"/>
    </row>
    <row r="35" spans="2:15">
      <c r="B35" s="22"/>
      <c r="C35" s="25" t="s">
        <v>157</v>
      </c>
      <c r="D35" s="49"/>
      <c r="E35" s="49"/>
      <c r="F35" s="49"/>
      <c r="G35" s="49"/>
      <c r="H35" s="347"/>
      <c r="I35" s="50"/>
      <c r="L35" s="86"/>
      <c r="M35" s="25">
        <v>29</v>
      </c>
      <c r="O35" s="4"/>
    </row>
    <row r="36" spans="2:15">
      <c r="L36" s="86"/>
      <c r="M36" s="25">
        <v>30</v>
      </c>
    </row>
    <row r="37" spans="2:15">
      <c r="B37" s="578" t="s">
        <v>461</v>
      </c>
      <c r="C37" s="47"/>
      <c r="D37" s="47"/>
      <c r="E37" s="47"/>
      <c r="F37" s="47"/>
      <c r="G37" s="47"/>
      <c r="H37" s="47"/>
      <c r="I37" s="48"/>
      <c r="L37" s="86"/>
      <c r="M37" s="25">
        <v>31</v>
      </c>
    </row>
    <row r="38" spans="2:15">
      <c r="B38" s="581" t="s">
        <v>166</v>
      </c>
      <c r="I38" s="45"/>
      <c r="L38" s="86"/>
      <c r="M38" s="25">
        <v>32</v>
      </c>
    </row>
    <row r="39" spans="2:15" ht="14.25" thickBot="1">
      <c r="B39" s="44"/>
      <c r="C39" s="51" t="s">
        <v>75</v>
      </c>
      <c r="D39" s="640" t="s">
        <v>80</v>
      </c>
      <c r="E39" s="641"/>
      <c r="F39" s="640" t="s">
        <v>81</v>
      </c>
      <c r="G39" s="641"/>
      <c r="I39" s="45"/>
      <c r="L39" s="86"/>
      <c r="M39" s="25">
        <v>33</v>
      </c>
    </row>
    <row r="40" spans="2:15" ht="14.25" thickTop="1">
      <c r="B40" s="22"/>
      <c r="C40" s="25" t="s">
        <v>457</v>
      </c>
      <c r="D40" s="53">
        <v>9</v>
      </c>
      <c r="E40" s="43" t="s">
        <v>460</v>
      </c>
      <c r="F40" s="53">
        <v>6</v>
      </c>
      <c r="G40" s="43" t="s">
        <v>460</v>
      </c>
      <c r="H40" s="49"/>
      <c r="I40" s="50"/>
      <c r="L40" s="86"/>
      <c r="M40" s="25">
        <v>34</v>
      </c>
    </row>
    <row r="41" spans="2:15">
      <c r="B41" s="578" t="s">
        <v>462</v>
      </c>
      <c r="C41" s="47"/>
      <c r="D41" s="47"/>
      <c r="E41" s="47"/>
      <c r="F41" s="47"/>
      <c r="G41" s="47"/>
      <c r="H41" s="47"/>
      <c r="I41" s="48"/>
      <c r="L41" s="86"/>
      <c r="M41" s="25">
        <v>35</v>
      </c>
    </row>
    <row r="42" spans="2:15">
      <c r="B42" s="581" t="s">
        <v>166</v>
      </c>
      <c r="I42" s="45"/>
      <c r="L42" s="86"/>
      <c r="M42" s="25">
        <v>36</v>
      </c>
    </row>
    <row r="43" spans="2:15" ht="14.25" thickBot="1">
      <c r="B43" s="44"/>
      <c r="C43" s="51" t="s">
        <v>75</v>
      </c>
      <c r="D43" s="640" t="s">
        <v>80</v>
      </c>
      <c r="E43" s="641"/>
      <c r="F43" s="640" t="s">
        <v>81</v>
      </c>
      <c r="G43" s="641"/>
      <c r="I43" s="45"/>
      <c r="L43" s="86"/>
      <c r="M43" s="25">
        <v>37</v>
      </c>
    </row>
    <row r="44" spans="2:15" ht="14.25" thickTop="1">
      <c r="B44" s="22"/>
      <c r="C44" s="25" t="s">
        <v>76</v>
      </c>
      <c r="D44" s="53">
        <v>5</v>
      </c>
      <c r="E44" s="43" t="s">
        <v>460</v>
      </c>
      <c r="F44" s="53">
        <v>4</v>
      </c>
      <c r="G44" s="43" t="s">
        <v>460</v>
      </c>
      <c r="H44" s="49"/>
      <c r="I44" s="50"/>
      <c r="L44" s="86"/>
      <c r="M44" s="25">
        <v>38</v>
      </c>
    </row>
    <row r="45" spans="2:15">
      <c r="H45" s="41"/>
      <c r="L45" s="86"/>
      <c r="M45" s="25">
        <v>39</v>
      </c>
    </row>
    <row r="46" spans="2:15">
      <c r="L46" s="86"/>
      <c r="M46" s="25">
        <v>40</v>
      </c>
    </row>
    <row r="47" spans="2:15">
      <c r="L47" s="86"/>
      <c r="M47" s="25">
        <v>41</v>
      </c>
    </row>
    <row r="48" spans="2:15">
      <c r="L48" s="86"/>
      <c r="M48" s="25">
        <v>42</v>
      </c>
    </row>
    <row r="49" spans="3:13">
      <c r="H49" s="4"/>
      <c r="I49" s="4"/>
      <c r="L49" s="86"/>
      <c r="M49" s="25">
        <v>43</v>
      </c>
    </row>
    <row r="50" spans="3:13">
      <c r="L50" s="86"/>
      <c r="M50" s="25">
        <v>44</v>
      </c>
    </row>
    <row r="51" spans="3:13">
      <c r="C51" s="41"/>
      <c r="D51" s="41"/>
      <c r="F51" s="41"/>
      <c r="H51" s="41"/>
      <c r="L51" s="86"/>
      <c r="M51" s="25">
        <v>45</v>
      </c>
    </row>
    <row r="52" spans="3:13">
      <c r="L52" s="86"/>
      <c r="M52" s="25">
        <v>46</v>
      </c>
    </row>
    <row r="53" spans="3:13">
      <c r="L53" s="86"/>
      <c r="M53" s="25">
        <v>47</v>
      </c>
    </row>
    <row r="54" spans="3:13">
      <c r="L54" s="86"/>
      <c r="M54" s="25">
        <v>48</v>
      </c>
    </row>
    <row r="55" spans="3:13">
      <c r="L55" s="86"/>
      <c r="M55" s="25">
        <v>49</v>
      </c>
    </row>
    <row r="56" spans="3:13">
      <c r="L56" s="86"/>
      <c r="M56" s="25">
        <v>50</v>
      </c>
    </row>
    <row r="57" spans="3:13">
      <c r="L57" s="86"/>
      <c r="M57" s="25">
        <v>51</v>
      </c>
    </row>
    <row r="58" spans="3:13">
      <c r="L58" s="86"/>
      <c r="M58" s="25">
        <v>52</v>
      </c>
    </row>
    <row r="59" spans="3:13">
      <c r="L59" s="86"/>
      <c r="M59" s="25">
        <v>53</v>
      </c>
    </row>
    <row r="60" spans="3:13">
      <c r="L60" s="86"/>
      <c r="M60" s="25">
        <v>54</v>
      </c>
    </row>
    <row r="61" spans="3:13">
      <c r="L61" s="86"/>
      <c r="M61" s="25">
        <v>55</v>
      </c>
    </row>
    <row r="62" spans="3:13">
      <c r="L62" s="86"/>
      <c r="M62" s="25">
        <v>56</v>
      </c>
    </row>
    <row r="63" spans="3:13">
      <c r="L63" s="86"/>
      <c r="M63" s="25">
        <v>57</v>
      </c>
    </row>
    <row r="64" spans="3:13">
      <c r="L64" s="86"/>
      <c r="M64" s="25">
        <v>58</v>
      </c>
    </row>
    <row r="65" spans="3:13">
      <c r="L65" s="86"/>
      <c r="M65" s="25">
        <v>59</v>
      </c>
    </row>
    <row r="66" spans="3:13">
      <c r="L66" s="86"/>
      <c r="M66" s="25">
        <v>60</v>
      </c>
    </row>
    <row r="67" spans="3:13">
      <c r="L67" s="86"/>
      <c r="M67" s="25">
        <v>61</v>
      </c>
    </row>
    <row r="68" spans="3:13">
      <c r="L68" s="86"/>
      <c r="M68" s="25">
        <v>62</v>
      </c>
    </row>
    <row r="69" spans="3:13">
      <c r="L69" s="86"/>
      <c r="M69" s="25">
        <v>63</v>
      </c>
    </row>
    <row r="70" spans="3:13">
      <c r="L70" s="86"/>
      <c r="M70" s="25">
        <v>64</v>
      </c>
    </row>
    <row r="71" spans="3:13">
      <c r="L71" s="86"/>
      <c r="M71" s="25">
        <v>65</v>
      </c>
    </row>
    <row r="72" spans="3:13">
      <c r="E72" s="1"/>
      <c r="F72" s="1"/>
      <c r="G72" s="1"/>
      <c r="H72" s="1"/>
      <c r="I72" s="1"/>
      <c r="J72" s="1"/>
      <c r="L72" s="86"/>
      <c r="M72" s="25">
        <v>66</v>
      </c>
    </row>
    <row r="73" spans="3:13">
      <c r="D73" s="1"/>
      <c r="E73" s="1"/>
      <c r="F73" s="1"/>
      <c r="G73" s="1"/>
      <c r="H73" s="1"/>
      <c r="I73" s="1"/>
      <c r="J73" s="1"/>
      <c r="L73" s="86"/>
      <c r="M73" s="25">
        <v>67</v>
      </c>
    </row>
    <row r="74" spans="3:13">
      <c r="C74" s="1"/>
      <c r="D74" s="1"/>
      <c r="E74" s="1"/>
      <c r="F74" s="1"/>
      <c r="G74" s="1"/>
      <c r="H74" s="1"/>
      <c r="I74" s="1"/>
      <c r="J74" s="1"/>
      <c r="L74" s="86"/>
      <c r="M74" s="25">
        <v>68</v>
      </c>
    </row>
    <row r="75" spans="3:13">
      <c r="C75" s="1"/>
      <c r="D75" s="1"/>
      <c r="E75" s="1"/>
      <c r="F75" s="1"/>
      <c r="G75" s="1"/>
      <c r="H75" s="1"/>
      <c r="I75" s="1"/>
      <c r="J75" s="1"/>
      <c r="L75" s="86"/>
      <c r="M75" s="25">
        <v>69</v>
      </c>
    </row>
    <row r="76" spans="3:13">
      <c r="F76" s="1"/>
      <c r="G76" s="1"/>
      <c r="H76" s="1"/>
      <c r="I76" s="1"/>
      <c r="J76" s="1"/>
      <c r="L76" s="86"/>
      <c r="M76" s="25">
        <v>70</v>
      </c>
    </row>
    <row r="77" spans="3:13">
      <c r="C77" s="1"/>
      <c r="D77" s="1"/>
      <c r="E77" s="1"/>
      <c r="F77" s="1"/>
      <c r="G77" s="1"/>
      <c r="H77" s="1"/>
      <c r="I77" s="1"/>
      <c r="J77" s="1"/>
      <c r="L77" s="86"/>
      <c r="M77" s="25">
        <v>71</v>
      </c>
    </row>
    <row r="78" spans="3:13">
      <c r="C78" s="1"/>
      <c r="D78" s="1"/>
      <c r="E78" s="1"/>
      <c r="F78" s="1"/>
      <c r="G78" s="1"/>
      <c r="H78" s="1"/>
      <c r="I78" s="1"/>
      <c r="J78" s="1"/>
      <c r="L78" s="86"/>
      <c r="M78" s="25">
        <v>72</v>
      </c>
    </row>
    <row r="79" spans="3:13">
      <c r="C79" s="1"/>
      <c r="D79" s="1"/>
      <c r="E79" s="1"/>
      <c r="F79" s="1"/>
      <c r="G79" s="1"/>
      <c r="H79" s="1"/>
      <c r="I79" s="1"/>
      <c r="J79" s="1"/>
      <c r="L79" s="86"/>
      <c r="M79" s="25">
        <v>73</v>
      </c>
    </row>
    <row r="80" spans="3:13">
      <c r="C80" s="1"/>
      <c r="D80" s="1"/>
      <c r="E80" s="1"/>
      <c r="F80" s="1"/>
      <c r="G80" s="1"/>
      <c r="H80" s="1"/>
      <c r="I80" s="1"/>
      <c r="J80" s="1"/>
      <c r="L80" s="86"/>
      <c r="M80" s="25">
        <v>74</v>
      </c>
    </row>
    <row r="81" spans="2:13">
      <c r="C81" s="1"/>
      <c r="D81" s="1"/>
      <c r="E81" s="1"/>
      <c r="F81" s="133"/>
      <c r="G81" s="1"/>
      <c r="H81" s="2"/>
      <c r="I81" s="1"/>
      <c r="J81" s="1"/>
      <c r="L81" s="86"/>
      <c r="M81" s="25">
        <v>75</v>
      </c>
    </row>
    <row r="82" spans="2:13">
      <c r="B82" s="1"/>
      <c r="C82" s="1"/>
      <c r="D82" s="1"/>
      <c r="E82" s="1"/>
      <c r="F82" s="1"/>
      <c r="G82" s="1"/>
      <c r="I82" s="1"/>
      <c r="J82" s="1"/>
      <c r="L82" s="86"/>
      <c r="M82" s="25">
        <v>76</v>
      </c>
    </row>
    <row r="83" spans="2:13">
      <c r="C83" s="132"/>
      <c r="D83" s="1"/>
      <c r="E83" s="1"/>
      <c r="F83" s="1"/>
      <c r="G83" s="1"/>
      <c r="H83" s="1"/>
      <c r="I83" s="1"/>
      <c r="J83" s="1"/>
      <c r="L83" s="86"/>
      <c r="M83" s="25">
        <v>77</v>
      </c>
    </row>
    <row r="84" spans="2:13">
      <c r="C84" s="1"/>
      <c r="D84" s="1"/>
      <c r="E84" s="1"/>
      <c r="F84" s="1"/>
      <c r="G84" s="1"/>
      <c r="H84" s="1"/>
      <c r="I84" s="1"/>
      <c r="J84" s="1"/>
      <c r="L84" s="86"/>
      <c r="M84" s="25">
        <v>78</v>
      </c>
    </row>
    <row r="85" spans="2:13">
      <c r="C85" s="1"/>
      <c r="D85" s="1"/>
      <c r="E85" s="1"/>
      <c r="F85" s="1"/>
      <c r="G85" s="1"/>
      <c r="H85" s="1"/>
      <c r="I85" s="1"/>
      <c r="J85" s="1"/>
      <c r="L85" s="86"/>
      <c r="M85" s="25">
        <v>79</v>
      </c>
    </row>
    <row r="86" spans="2:13">
      <c r="C86" s="1"/>
      <c r="D86" s="1"/>
      <c r="E86" s="1"/>
      <c r="F86" s="1"/>
      <c r="G86" s="1"/>
      <c r="H86" s="1"/>
      <c r="I86" s="1"/>
      <c r="J86" s="1"/>
      <c r="L86" s="86"/>
      <c r="M86" s="25">
        <v>80</v>
      </c>
    </row>
    <row r="87" spans="2:13">
      <c r="C87" s="1"/>
      <c r="D87" s="1"/>
      <c r="E87" s="1"/>
      <c r="F87" s="1"/>
      <c r="G87" s="1"/>
      <c r="H87" s="1"/>
      <c r="I87" s="1"/>
      <c r="J87" s="1"/>
      <c r="L87" s="86"/>
      <c r="M87" s="25">
        <v>81</v>
      </c>
    </row>
    <row r="88" spans="2:13">
      <c r="C88" s="1"/>
      <c r="D88" s="1"/>
      <c r="E88" s="1"/>
      <c r="F88" s="1"/>
      <c r="G88" s="1"/>
      <c r="H88" s="1"/>
      <c r="I88" s="1"/>
      <c r="J88" s="1"/>
      <c r="L88" s="86"/>
      <c r="M88" s="25">
        <v>82</v>
      </c>
    </row>
    <row r="89" spans="2:13">
      <c r="C89" s="1"/>
      <c r="D89" s="1"/>
      <c r="E89" s="1"/>
      <c r="F89" s="1"/>
      <c r="G89" s="1"/>
      <c r="H89" s="1"/>
      <c r="I89" s="1"/>
      <c r="J89" s="1"/>
      <c r="L89" s="86"/>
      <c r="M89" s="25">
        <v>83</v>
      </c>
    </row>
    <row r="90" spans="2:13">
      <c r="C90" s="1"/>
      <c r="D90" s="1"/>
      <c r="E90" s="1"/>
      <c r="F90" s="1"/>
      <c r="G90" s="1"/>
      <c r="H90" s="1"/>
      <c r="I90" s="1"/>
      <c r="J90" s="1"/>
      <c r="L90" s="86"/>
      <c r="M90" s="25">
        <v>84</v>
      </c>
    </row>
    <row r="91" spans="2:13">
      <c r="C91" s="1"/>
      <c r="D91" s="1"/>
      <c r="E91" s="1"/>
      <c r="F91" s="1"/>
      <c r="G91" s="1"/>
      <c r="H91" s="1"/>
      <c r="I91" s="1"/>
      <c r="J91" s="1"/>
      <c r="L91" s="86"/>
      <c r="M91" s="25">
        <v>85</v>
      </c>
    </row>
    <row r="92" spans="2:13">
      <c r="E92" s="12"/>
      <c r="F92" s="1"/>
      <c r="G92" s="1"/>
      <c r="H92" s="1"/>
      <c r="I92" s="1"/>
      <c r="J92" s="1"/>
      <c r="L92" s="86"/>
      <c r="M92" s="25">
        <v>86</v>
      </c>
    </row>
    <row r="93" spans="2:13">
      <c r="F93" s="1"/>
      <c r="G93" s="1"/>
      <c r="H93" s="1"/>
      <c r="I93" s="1"/>
      <c r="J93" s="1"/>
      <c r="L93" s="86"/>
      <c r="M93" s="25">
        <v>87</v>
      </c>
    </row>
    <row r="94" spans="2:13">
      <c r="C94" s="41"/>
      <c r="F94" s="1"/>
      <c r="G94" s="1"/>
      <c r="H94" s="1"/>
      <c r="I94" s="1"/>
      <c r="J94" s="1"/>
      <c r="L94" s="86"/>
      <c r="M94" s="25">
        <v>88</v>
      </c>
    </row>
    <row r="95" spans="2:13">
      <c r="C95" s="41"/>
      <c r="F95" s="1"/>
      <c r="G95" s="1"/>
      <c r="H95" s="1"/>
      <c r="I95" s="1"/>
      <c r="J95" s="1"/>
      <c r="L95" s="86"/>
      <c r="M95" s="25">
        <v>89</v>
      </c>
    </row>
    <row r="96" spans="2:13">
      <c r="C96" s="41"/>
      <c r="F96" s="1"/>
      <c r="G96" s="1"/>
      <c r="H96" s="1"/>
      <c r="I96" s="1"/>
      <c r="J96" s="1"/>
      <c r="L96" s="86"/>
      <c r="M96" s="25">
        <v>90</v>
      </c>
    </row>
    <row r="97" spans="3:13">
      <c r="C97" s="41"/>
      <c r="F97" s="1"/>
      <c r="G97" s="1"/>
      <c r="H97" s="1"/>
      <c r="I97" s="1"/>
      <c r="J97" s="1"/>
      <c r="L97" s="86"/>
      <c r="M97" s="25">
        <v>91</v>
      </c>
    </row>
    <row r="98" spans="3:13">
      <c r="C98" s="77"/>
      <c r="D98" s="1"/>
      <c r="E98" s="1"/>
      <c r="F98" s="1"/>
      <c r="G98" s="1"/>
      <c r="H98" s="1"/>
      <c r="I98" s="1"/>
      <c r="J98" s="1"/>
      <c r="L98" s="86"/>
      <c r="M98" s="25">
        <v>92</v>
      </c>
    </row>
    <row r="99" spans="3:13">
      <c r="C99" s="1"/>
      <c r="D99" s="1"/>
      <c r="E99" s="1"/>
      <c r="F99" s="1"/>
      <c r="G99" s="1"/>
      <c r="H99" s="1"/>
      <c r="I99" s="1"/>
      <c r="J99" s="1"/>
      <c r="L99" s="86"/>
      <c r="M99" s="25">
        <v>93</v>
      </c>
    </row>
    <row r="100" spans="3:13">
      <c r="C100" s="2"/>
      <c r="E100" s="1"/>
      <c r="F100" s="1"/>
      <c r="G100" s="1"/>
      <c r="H100" s="1"/>
      <c r="I100" s="1"/>
      <c r="J100" s="1"/>
      <c r="L100" s="86"/>
      <c r="M100" s="25">
        <v>94</v>
      </c>
    </row>
    <row r="101" spans="3:13">
      <c r="D101" s="1"/>
      <c r="E101" s="1"/>
      <c r="F101" s="1"/>
      <c r="G101" s="1"/>
      <c r="J101" s="1"/>
      <c r="L101" s="86"/>
      <c r="M101" s="25">
        <v>95</v>
      </c>
    </row>
    <row r="102" spans="3:13">
      <c r="D102" s="1"/>
      <c r="E102" s="1"/>
      <c r="F102" s="1"/>
      <c r="G102" s="1"/>
      <c r="L102" s="86"/>
      <c r="M102" s="25">
        <v>96</v>
      </c>
    </row>
    <row r="103" spans="3:13">
      <c r="C103" s="2"/>
      <c r="D103" s="1"/>
      <c r="E103" s="1"/>
      <c r="F103" s="1"/>
      <c r="G103" s="1"/>
      <c r="I103" s="1"/>
      <c r="L103" s="86"/>
      <c r="M103" s="25">
        <v>97</v>
      </c>
    </row>
    <row r="104" spans="3:13">
      <c r="C104" s="1"/>
      <c r="D104" s="1"/>
      <c r="E104" s="1"/>
      <c r="F104" s="1"/>
      <c r="G104" s="1"/>
      <c r="I104" s="1"/>
      <c r="L104" s="86"/>
      <c r="M104" s="25">
        <v>98</v>
      </c>
    </row>
    <row r="105" spans="3:13">
      <c r="D105" s="1"/>
      <c r="E105" s="1"/>
      <c r="F105" s="1"/>
      <c r="G105" s="1"/>
      <c r="I105" s="1"/>
      <c r="L105" s="86"/>
      <c r="M105" s="25">
        <v>99</v>
      </c>
    </row>
    <row r="106" spans="3:13">
      <c r="C106" s="1"/>
      <c r="D106" s="1"/>
      <c r="E106" s="1"/>
      <c r="F106" s="1"/>
      <c r="G106" s="1"/>
      <c r="I106" s="1"/>
      <c r="L106" s="86"/>
      <c r="M106" s="25">
        <v>100</v>
      </c>
    </row>
    <row r="107" spans="3:13">
      <c r="C107" s="1"/>
      <c r="D107" s="1"/>
      <c r="E107" s="1"/>
      <c r="F107" s="1"/>
      <c r="G107" s="1"/>
      <c r="H107" s="1"/>
      <c r="I107" s="1"/>
      <c r="J107" s="1"/>
      <c r="L107" s="86"/>
      <c r="M107" s="25">
        <v>101</v>
      </c>
    </row>
    <row r="108" spans="3:13">
      <c r="D108" s="1"/>
      <c r="E108" s="1"/>
      <c r="F108" s="1"/>
      <c r="G108" s="1"/>
      <c r="H108" s="1"/>
      <c r="I108" s="1"/>
      <c r="J108" s="1"/>
      <c r="L108" s="86"/>
      <c r="M108" s="25">
        <v>102</v>
      </c>
    </row>
    <row r="109" spans="3:13">
      <c r="C109" s="1"/>
      <c r="D109" s="1"/>
      <c r="E109" s="1"/>
      <c r="F109" s="1"/>
      <c r="G109" s="1"/>
      <c r="H109" s="1"/>
      <c r="I109" s="1"/>
      <c r="J109" s="1"/>
      <c r="L109" s="86"/>
      <c r="M109" s="25">
        <v>103</v>
      </c>
    </row>
    <row r="110" spans="3:13">
      <c r="C110" s="1"/>
      <c r="D110" s="1"/>
      <c r="E110" s="1"/>
      <c r="F110" s="1"/>
      <c r="G110" s="1"/>
      <c r="H110" s="1"/>
      <c r="I110" s="1"/>
      <c r="J110" s="1"/>
      <c r="L110" s="86"/>
      <c r="M110" s="25">
        <v>104</v>
      </c>
    </row>
    <row r="111" spans="3:13">
      <c r="C111" s="1"/>
      <c r="D111" s="1"/>
      <c r="E111" s="1"/>
      <c r="F111" s="1"/>
      <c r="G111" s="1"/>
      <c r="H111" s="1"/>
      <c r="I111" s="1"/>
      <c r="J111" s="1"/>
    </row>
    <row r="112" spans="3:13">
      <c r="C112" s="1"/>
      <c r="D112" s="1"/>
      <c r="E112" s="1"/>
      <c r="F112" s="1"/>
      <c r="G112" s="1"/>
      <c r="H112" s="1"/>
      <c r="I112" s="1"/>
      <c r="J112" s="1"/>
    </row>
    <row r="113" spans="3:10">
      <c r="C113" s="1"/>
      <c r="D113" s="1"/>
      <c r="E113" s="1"/>
      <c r="F113" s="1"/>
      <c r="G113" s="1"/>
      <c r="H113" s="1"/>
      <c r="I113" s="1"/>
      <c r="J113" s="1"/>
    </row>
    <row r="114" spans="3:10">
      <c r="C114" s="1"/>
      <c r="D114" s="1"/>
      <c r="E114" s="1"/>
      <c r="F114" s="1"/>
      <c r="G114" s="1"/>
      <c r="H114" s="1"/>
      <c r="I114" s="1"/>
      <c r="J114" s="1"/>
    </row>
    <row r="115" spans="3:10">
      <c r="C115" s="1"/>
      <c r="D115" s="1"/>
      <c r="E115" s="1"/>
      <c r="F115" s="1"/>
      <c r="G115" s="1"/>
      <c r="H115" s="1"/>
      <c r="I115" s="1"/>
      <c r="J115" s="1"/>
    </row>
    <row r="116" spans="3:10">
      <c r="C116" s="1"/>
      <c r="D116" s="1"/>
      <c r="E116" s="1"/>
      <c r="F116" s="1"/>
      <c r="G116" s="1"/>
      <c r="H116" s="1"/>
      <c r="I116" s="1"/>
      <c r="J116" s="1"/>
    </row>
    <row r="117" spans="3:10">
      <c r="C117" s="1"/>
      <c r="D117" s="1"/>
      <c r="E117" s="1"/>
      <c r="F117" s="1"/>
      <c r="G117" s="1"/>
      <c r="H117" s="1"/>
      <c r="I117" s="1"/>
      <c r="J117" s="1"/>
    </row>
    <row r="118" spans="3:10">
      <c r="C118" s="1"/>
      <c r="D118" s="1"/>
      <c r="E118" s="1"/>
      <c r="F118" s="1"/>
      <c r="G118" s="1"/>
      <c r="H118" s="1"/>
      <c r="I118" s="1"/>
      <c r="J118" s="1"/>
    </row>
    <row r="119" spans="3:10">
      <c r="C119" s="1"/>
      <c r="D119" s="1"/>
      <c r="E119" s="1"/>
      <c r="F119" s="1"/>
      <c r="G119" s="1"/>
      <c r="H119" s="1"/>
      <c r="I119" s="1"/>
      <c r="J119" s="1"/>
    </row>
    <row r="120" spans="3:10">
      <c r="C120" s="1"/>
      <c r="D120" s="1"/>
      <c r="E120" s="1"/>
      <c r="F120" s="1"/>
      <c r="G120" s="1"/>
      <c r="H120" s="1"/>
      <c r="I120" s="1"/>
      <c r="J120" s="1"/>
    </row>
    <row r="121" spans="3:10">
      <c r="C121" s="1"/>
      <c r="D121" s="1"/>
      <c r="E121" s="1"/>
      <c r="F121" s="1"/>
      <c r="G121" s="1"/>
      <c r="H121" s="1"/>
      <c r="I121" s="1"/>
      <c r="J121" s="1"/>
    </row>
    <row r="122" spans="3:10">
      <c r="C122" s="1"/>
      <c r="D122" s="1"/>
      <c r="E122" s="1"/>
      <c r="F122" s="1"/>
      <c r="G122" s="1"/>
      <c r="H122" s="1"/>
      <c r="I122" s="1"/>
      <c r="J122" s="1"/>
    </row>
    <row r="123" spans="3:10">
      <c r="C123" s="1"/>
      <c r="D123" s="1"/>
      <c r="E123" s="1"/>
      <c r="F123" s="1"/>
      <c r="G123" s="1"/>
      <c r="H123" s="1"/>
      <c r="I123" s="1"/>
      <c r="J123" s="1"/>
    </row>
    <row r="124" spans="3:10">
      <c r="C124" s="1"/>
      <c r="D124" s="1"/>
      <c r="E124" s="1"/>
      <c r="F124" s="1"/>
      <c r="G124" s="1"/>
      <c r="H124" s="1"/>
      <c r="I124" s="1"/>
      <c r="J124" s="1"/>
    </row>
    <row r="125" spans="3:10">
      <c r="C125" s="1"/>
      <c r="D125" s="1"/>
      <c r="E125" s="1"/>
      <c r="F125" s="1"/>
      <c r="G125" s="1"/>
      <c r="H125" s="1"/>
      <c r="I125" s="1"/>
      <c r="J125" s="1"/>
    </row>
    <row r="126" spans="3:10">
      <c r="C126" s="1"/>
      <c r="D126" s="1"/>
      <c r="E126" s="1"/>
      <c r="F126" s="1"/>
      <c r="G126" s="1"/>
      <c r="H126" s="1"/>
      <c r="I126" s="1"/>
      <c r="J126" s="1"/>
    </row>
    <row r="127" spans="3:10">
      <c r="C127" s="1"/>
      <c r="D127" s="1"/>
      <c r="E127" s="1"/>
      <c r="F127" s="1"/>
      <c r="G127" s="1"/>
      <c r="H127" s="1"/>
      <c r="I127" s="1"/>
      <c r="J127" s="1"/>
    </row>
    <row r="128" spans="3:10">
      <c r="C128" s="1"/>
      <c r="D128" s="1"/>
      <c r="E128" s="1"/>
      <c r="F128" s="1"/>
      <c r="G128" s="1"/>
      <c r="H128" s="1"/>
      <c r="I128" s="1"/>
      <c r="J128" s="1"/>
    </row>
    <row r="129" spans="3:10">
      <c r="C129" s="1"/>
      <c r="D129" s="1"/>
      <c r="E129" s="1"/>
      <c r="F129" s="1"/>
      <c r="G129" s="1"/>
      <c r="H129" s="1"/>
      <c r="I129" s="1"/>
      <c r="J129" s="1"/>
    </row>
    <row r="130" spans="3:10">
      <c r="C130" s="1"/>
      <c r="D130" s="1"/>
      <c r="E130" s="1"/>
      <c r="F130" s="1"/>
      <c r="G130" s="1"/>
      <c r="H130" s="1"/>
      <c r="I130" s="1"/>
      <c r="J130" s="1"/>
    </row>
    <row r="131" spans="3:10">
      <c r="C131" s="1"/>
      <c r="D131" s="1"/>
      <c r="E131" s="1"/>
      <c r="F131" s="1"/>
      <c r="G131" s="1"/>
      <c r="H131" s="1"/>
      <c r="I131" s="1"/>
      <c r="J131" s="1"/>
    </row>
    <row r="132" spans="3:10">
      <c r="C132" s="1"/>
      <c r="D132" s="1"/>
      <c r="E132" s="1"/>
      <c r="F132" s="1"/>
      <c r="G132" s="1"/>
      <c r="H132" s="1"/>
      <c r="I132" s="1"/>
      <c r="J132" s="1"/>
    </row>
    <row r="133" spans="3:10">
      <c r="C133" s="1"/>
      <c r="D133" s="1"/>
      <c r="E133" s="1"/>
      <c r="F133" s="1"/>
      <c r="G133" s="1"/>
      <c r="H133" s="1"/>
      <c r="I133" s="1"/>
      <c r="J133" s="1"/>
    </row>
    <row r="134" spans="3:10">
      <c r="C134" s="1"/>
      <c r="D134" s="1"/>
      <c r="E134" s="1"/>
      <c r="F134" s="1"/>
      <c r="G134" s="1"/>
      <c r="H134" s="1"/>
      <c r="I134" s="1"/>
      <c r="J134" s="1"/>
    </row>
    <row r="135" spans="3:10">
      <c r="C135" s="1"/>
      <c r="D135" s="1"/>
      <c r="E135" s="1"/>
      <c r="F135" s="1"/>
      <c r="G135" s="1"/>
      <c r="H135" s="1"/>
      <c r="I135" s="1"/>
      <c r="J135" s="1"/>
    </row>
    <row r="136" spans="3:10">
      <c r="C136" s="1"/>
      <c r="D136" s="1"/>
      <c r="E136" s="1"/>
      <c r="F136" s="1"/>
      <c r="G136" s="1"/>
      <c r="H136" s="1"/>
      <c r="I136" s="1"/>
      <c r="J136" s="1"/>
    </row>
    <row r="137" spans="3:10">
      <c r="C137" s="1"/>
      <c r="D137" s="1"/>
      <c r="E137" s="1"/>
      <c r="F137" s="1"/>
      <c r="G137" s="1"/>
      <c r="H137" s="1"/>
      <c r="I137" s="1"/>
      <c r="J137" s="1"/>
    </row>
    <row r="138" spans="3:10">
      <c r="C138" s="1"/>
      <c r="D138" s="1"/>
      <c r="E138" s="1"/>
      <c r="F138" s="1"/>
      <c r="G138" s="1"/>
      <c r="H138" s="1"/>
      <c r="I138" s="1"/>
      <c r="J138" s="1"/>
    </row>
    <row r="139" spans="3:10">
      <c r="C139" s="1"/>
      <c r="D139" s="1"/>
      <c r="E139" s="1"/>
      <c r="F139" s="1"/>
      <c r="G139" s="1"/>
      <c r="H139" s="1"/>
      <c r="I139" s="1"/>
      <c r="J139" s="1"/>
    </row>
    <row r="140" spans="3:10">
      <c r="C140" s="1"/>
      <c r="D140" s="1"/>
      <c r="E140" s="1"/>
      <c r="F140" s="1"/>
      <c r="G140" s="1"/>
      <c r="H140" s="1"/>
      <c r="I140" s="1"/>
      <c r="J140" s="1"/>
    </row>
  </sheetData>
  <mergeCells count="19">
    <mergeCell ref="G25:I25"/>
    <mergeCell ref="B17:I17"/>
    <mergeCell ref="B19:I20"/>
    <mergeCell ref="H1:J1"/>
    <mergeCell ref="H2:J2"/>
    <mergeCell ref="H3:J3"/>
    <mergeCell ref="H4:J4"/>
    <mergeCell ref="G7:K7"/>
    <mergeCell ref="F1:G1"/>
    <mergeCell ref="F2:G2"/>
    <mergeCell ref="F3:G3"/>
    <mergeCell ref="F4:G4"/>
    <mergeCell ref="F28:I28"/>
    <mergeCell ref="D43:E43"/>
    <mergeCell ref="F43:G43"/>
    <mergeCell ref="D30:I30"/>
    <mergeCell ref="D31:I31"/>
    <mergeCell ref="D39:E39"/>
    <mergeCell ref="F39:G39"/>
  </mergeCells>
  <phoneticPr fontId="2"/>
  <conditionalFormatting sqref="B17:I17">
    <cfRule type="expression" dxfId="60" priority="4">
      <formula>$I$13=$C$14</formula>
    </cfRule>
  </conditionalFormatting>
  <conditionalFormatting sqref="B19:I20">
    <cfRule type="expression" dxfId="59" priority="3">
      <formula>$I$13=$C$15</formula>
    </cfRule>
  </conditionalFormatting>
  <conditionalFormatting sqref="D30:I31">
    <cfRule type="expression" dxfId="58" priority="1">
      <formula>$E$28=C30</formula>
    </cfRule>
  </conditionalFormatting>
  <conditionalFormatting sqref="H2">
    <cfRule type="expression" dxfId="57" priority="5">
      <formula>NOT(OR(LEN(H2)=13,LEN(H2)=0))</formula>
    </cfRule>
  </conditionalFormatting>
  <conditionalFormatting sqref="I24 G25:I25">
    <cfRule type="expression" dxfId="56" priority="2">
      <formula>$I$22=$E$26</formula>
    </cfRule>
  </conditionalFormatting>
  <dataValidations count="6">
    <dataValidation type="list" allowBlank="1" showInputMessage="1" showErrorMessage="1" sqref="I9" xr:uid="{00000000-0002-0000-0000-000002000000}">
      <formula1>$C$10:$C$11</formula1>
    </dataValidation>
    <dataValidation type="list" allowBlank="1" showInputMessage="1" showErrorMessage="1" sqref="I22 E29 I13 C16" xr:uid="{00000000-0002-0000-0000-000000000000}">
      <formula1>$C$14:$C$15</formula1>
    </dataValidation>
    <dataValidation type="list" allowBlank="1" showInputMessage="1" showErrorMessage="1" sqref="I24" xr:uid="{00000000-0002-0000-0000-000003000000}">
      <formula1>$E$25:$E$26</formula1>
    </dataValidation>
    <dataValidation type="list" allowBlank="1" showInputMessage="1" showErrorMessage="1" sqref="I33" xr:uid="{00000000-0002-0000-0000-000001000000}">
      <formula1>$C$34:$C$35</formula1>
    </dataValidation>
    <dataValidation type="list" allowBlank="1" showInputMessage="1" showErrorMessage="1" sqref="E28" xr:uid="{051A9503-140E-4F54-8904-B5B2B27499D9}">
      <formula1>$C$30:$C$31</formula1>
    </dataValidation>
    <dataValidation type="list" allowBlank="1" showInputMessage="1" showErrorMessage="1" sqref="F7" xr:uid="{85698CCA-E164-47C7-BE79-CA8CD3AC42A0}">
      <formula1>$I$6:$J$6</formula1>
    </dataValidation>
  </dataValidations>
  <pageMargins left="0.42" right="0.32" top="0.5" bottom="0.2" header="0.3" footer="0.3"/>
  <pageSetup paperSize="9" scale="5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P151"/>
  <sheetViews>
    <sheetView showGridLines="0" zoomScale="90" zoomScaleNormal="90" workbookViewId="0">
      <selection activeCell="N15" sqref="N15:O19"/>
    </sheetView>
  </sheetViews>
  <sheetFormatPr defaultRowHeight="13.5"/>
  <cols>
    <col min="1" max="1" width="1.875" customWidth="1"/>
    <col min="2" max="4" width="13.75" customWidth="1"/>
    <col min="5" max="5" width="1.625" customWidth="1"/>
    <col min="6" max="8" width="13.625" customWidth="1"/>
    <col min="9" max="9" width="3.125" customWidth="1"/>
    <col min="10" max="10" width="21.125" customWidth="1"/>
    <col min="11" max="11" width="18.375" customWidth="1"/>
    <col min="12" max="12" width="4.125" customWidth="1"/>
    <col min="13" max="13" width="3.75" customWidth="1"/>
    <col min="14" max="14" width="23.5" customWidth="1"/>
    <col min="15" max="15" width="17.375" customWidth="1"/>
    <col min="16" max="16" width="5.5" customWidth="1"/>
    <col min="17" max="17" width="12.5" customWidth="1"/>
  </cols>
  <sheetData>
    <row r="1" spans="2:16" ht="15.75" customHeight="1">
      <c r="B1" s="219" t="s">
        <v>391</v>
      </c>
      <c r="J1" s="25" t="s">
        <v>13</v>
      </c>
      <c r="K1" s="667" t="str">
        <f>設定!H4</f>
        <v>ああああ</v>
      </c>
      <c r="L1" s="667"/>
      <c r="N1" s="117" t="s">
        <v>95</v>
      </c>
      <c r="O1" s="344" t="str">
        <f>設定!H3</f>
        <v>千葉市中央区あああああ１１１１－１１１１１１</v>
      </c>
    </row>
    <row r="2" spans="2:16" ht="15.75" customHeight="1">
      <c r="B2" s="219"/>
      <c r="C2" s="219"/>
      <c r="H2" s="219"/>
      <c r="J2" s="25" t="s">
        <v>15</v>
      </c>
      <c r="K2" s="668" t="str">
        <f>設定!H2</f>
        <v>1234567891234</v>
      </c>
      <c r="L2" s="668"/>
      <c r="N2" s="25" t="s">
        <v>14</v>
      </c>
      <c r="O2" s="344" t="str">
        <f>設定!H1</f>
        <v>給与の支払い者おおおお</v>
      </c>
    </row>
    <row r="3" spans="2:16" ht="14.25" customHeight="1">
      <c r="B3" s="672" t="s">
        <v>333</v>
      </c>
      <c r="C3" s="673"/>
      <c r="D3" s="673"/>
      <c r="E3" s="673"/>
      <c r="F3" s="673"/>
      <c r="G3" s="673"/>
      <c r="H3" s="674"/>
      <c r="J3" s="672" t="s">
        <v>268</v>
      </c>
      <c r="K3" s="673"/>
      <c r="L3" s="674"/>
      <c r="N3" s="672" t="s">
        <v>267</v>
      </c>
      <c r="O3" s="674"/>
    </row>
    <row r="4" spans="2:16" ht="14.25" customHeight="1">
      <c r="B4" s="54"/>
      <c r="C4" s="54"/>
      <c r="D4" s="54"/>
      <c r="E4" s="54"/>
      <c r="F4" s="54"/>
      <c r="G4" s="54"/>
      <c r="H4" s="54"/>
    </row>
    <row r="5" spans="2:16" ht="18.75" customHeight="1">
      <c r="B5" s="154" t="s">
        <v>448</v>
      </c>
      <c r="C5" s="743" t="s">
        <v>502</v>
      </c>
      <c r="D5" s="744"/>
      <c r="E5" s="637" t="s">
        <v>12</v>
      </c>
      <c r="F5" s="639"/>
      <c r="G5" s="743" t="s">
        <v>503</v>
      </c>
      <c r="H5" s="744"/>
      <c r="J5" s="682" t="s">
        <v>200</v>
      </c>
      <c r="K5" s="683"/>
      <c r="L5" s="212"/>
      <c r="N5" s="748" t="s">
        <v>201</v>
      </c>
      <c r="O5" s="749"/>
    </row>
    <row r="6" spans="2:16" ht="18.75" customHeight="1">
      <c r="B6" s="623" t="str">
        <f>IF(設定!F7=設定!I6,"▲氏名はリストから選んでください。","")&amp;"(旧姓使用は不可です。）来年の１月１日までに改姓となる場合は、"</f>
        <v>(旧姓使用は不可です。）来年の１月１日までに改姓となる場合は、</v>
      </c>
      <c r="C6" s="624"/>
      <c r="D6" s="624"/>
      <c r="E6" s="624"/>
      <c r="F6" s="624"/>
      <c r="G6" s="614"/>
      <c r="H6" s="625"/>
      <c r="J6" s="46" t="s">
        <v>124</v>
      </c>
      <c r="K6" s="395" t="s">
        <v>126</v>
      </c>
      <c r="L6" s="45"/>
      <c r="N6" s="207" t="s">
        <v>202</v>
      </c>
      <c r="O6" s="383" t="s">
        <v>247</v>
      </c>
    </row>
    <row r="7" spans="2:16" ht="21.75" customHeight="1">
      <c r="B7" s="22"/>
      <c r="C7" s="617"/>
      <c r="D7" s="617"/>
      <c r="E7" s="617"/>
      <c r="F7" s="617"/>
      <c r="G7" s="626"/>
      <c r="H7" s="627" t="str">
        <f>IF(設定!F7=1,"　リストに名前がない場合、リストの氏名が誤っている場合にはキーボードから入力してください。","改姓後の氏名をキーボードから入力してください。")</f>
        <v>改姓後の氏名をキーボードから入力してください。</v>
      </c>
      <c r="J7" s="684" t="s">
        <v>545</v>
      </c>
      <c r="K7" s="685"/>
      <c r="L7" s="686"/>
      <c r="N7" s="727" t="s">
        <v>306</v>
      </c>
      <c r="O7" s="728"/>
    </row>
    <row r="8" spans="2:16" ht="18.75" customHeight="1">
      <c r="B8" s="155" t="s">
        <v>449</v>
      </c>
      <c r="C8" s="745" t="s">
        <v>504</v>
      </c>
      <c r="D8" s="746"/>
      <c r="E8" s="746"/>
      <c r="F8" s="746"/>
      <c r="G8" s="746"/>
      <c r="H8" s="747"/>
      <c r="J8" s="684"/>
      <c r="K8" s="685"/>
      <c r="L8" s="686"/>
      <c r="N8" s="727"/>
      <c r="O8" s="728"/>
    </row>
    <row r="9" spans="2:16" ht="18.75" customHeight="1">
      <c r="B9" s="628" t="s">
        <v>450</v>
      </c>
      <c r="C9" s="629">
        <f>設定!D1+1</f>
        <v>45658</v>
      </c>
      <c r="D9" s="630" t="s">
        <v>190</v>
      </c>
      <c r="E9" s="630"/>
      <c r="F9" s="630"/>
      <c r="G9" s="631"/>
      <c r="H9" s="632"/>
      <c r="J9" s="684" t="s">
        <v>305</v>
      </c>
      <c r="K9" s="685"/>
      <c r="L9" s="686"/>
      <c r="N9" s="729"/>
      <c r="O9" s="730"/>
    </row>
    <row r="10" spans="2:16" ht="18.75" customHeight="1">
      <c r="B10" s="633"/>
      <c r="C10" s="634"/>
      <c r="D10" s="634"/>
      <c r="E10" s="634"/>
      <c r="F10" s="634"/>
      <c r="G10" s="635"/>
      <c r="H10" s="636" t="s">
        <v>183</v>
      </c>
      <c r="J10" s="684"/>
      <c r="K10" s="685"/>
      <c r="L10" s="686"/>
      <c r="N10" s="349"/>
      <c r="O10" s="349"/>
    </row>
    <row r="11" spans="2:16" ht="18.75" customHeight="1">
      <c r="B11" t="s">
        <v>338</v>
      </c>
      <c r="J11" s="687"/>
      <c r="K11" s="688"/>
      <c r="L11" s="689"/>
      <c r="N11" s="150" t="s">
        <v>130</v>
      </c>
      <c r="O11" s="344" t="s">
        <v>247</v>
      </c>
      <c r="P11" t="str">
        <f>IF(O11=$J$78,"下に入力項目があります。","")</f>
        <v>下に入力項目があります。</v>
      </c>
    </row>
    <row r="12" spans="2:16" ht="18.75" customHeight="1">
      <c r="B12" s="718" t="s">
        <v>184</v>
      </c>
      <c r="C12" s="719"/>
      <c r="D12" s="676" t="s">
        <v>252</v>
      </c>
      <c r="F12" t="s">
        <v>451</v>
      </c>
      <c r="J12" s="172" t="s">
        <v>189</v>
      </c>
      <c r="K12" s="390" t="s">
        <v>505</v>
      </c>
      <c r="L12" s="48"/>
      <c r="N12" s="131" t="s">
        <v>131</v>
      </c>
      <c r="O12" s="396" t="s">
        <v>248</v>
      </c>
      <c r="P12" t="str">
        <f>IF(O12=$J$78,"下に入力項目があります。","")</f>
        <v/>
      </c>
    </row>
    <row r="13" spans="2:16" ht="18.75" customHeight="1">
      <c r="B13" s="743" t="s">
        <v>181</v>
      </c>
      <c r="C13" s="744"/>
      <c r="D13" s="677"/>
      <c r="F13" t="s">
        <v>544</v>
      </c>
      <c r="J13" s="153" t="s">
        <v>113</v>
      </c>
      <c r="K13" s="391" t="s">
        <v>506</v>
      </c>
      <c r="L13" s="45"/>
      <c r="N13" s="131" t="s">
        <v>133</v>
      </c>
      <c r="O13" s="344" t="s">
        <v>248</v>
      </c>
      <c r="P13" t="str">
        <f>IF(O13=$J$78,"下に入力項目があります。","")</f>
        <v/>
      </c>
    </row>
    <row r="14" spans="2:16" ht="18.75" customHeight="1">
      <c r="B14" s="152" t="s">
        <v>269</v>
      </c>
      <c r="C14" s="756" t="s">
        <v>217</v>
      </c>
      <c r="D14" s="757"/>
      <c r="F14" s="750" t="s">
        <v>352</v>
      </c>
      <c r="G14" s="751"/>
      <c r="H14" s="752"/>
      <c r="J14" s="153" t="s">
        <v>115</v>
      </c>
      <c r="K14" s="392">
        <v>25329</v>
      </c>
      <c r="L14" s="45"/>
      <c r="N14" s="151" t="s">
        <v>132</v>
      </c>
      <c r="O14" s="344" t="s">
        <v>248</v>
      </c>
      <c r="P14" t="str">
        <f>IF(O14=$J$78,"下に入力項目があります。","")</f>
        <v/>
      </c>
    </row>
    <row r="15" spans="2:16" ht="18.75" customHeight="1">
      <c r="B15" s="44" t="s">
        <v>181</v>
      </c>
      <c r="D15" s="170" t="s">
        <v>365</v>
      </c>
      <c r="F15" s="761" t="str">
        <f>IF(B59=B61,B64,B71)</f>
        <v>１月になり、源泉徴収票が交付されたら、こちらに現在の勤務先での給料支払額を入力して申告書を完成させて再度提出してください。１１月の段階では入力不要です。</v>
      </c>
      <c r="G15" s="713"/>
      <c r="H15" s="762"/>
      <c r="J15" s="153" t="s">
        <v>251</v>
      </c>
      <c r="K15" s="393" t="s">
        <v>507</v>
      </c>
      <c r="L15" s="45"/>
      <c r="N15" s="768" t="s">
        <v>494</v>
      </c>
      <c r="O15" s="769"/>
    </row>
    <row r="16" spans="2:16" ht="18.75" customHeight="1">
      <c r="B16" s="44" t="s">
        <v>191</v>
      </c>
      <c r="D16" s="170" t="s">
        <v>218</v>
      </c>
      <c r="F16" s="761"/>
      <c r="G16" s="713"/>
      <c r="H16" s="762"/>
      <c r="J16" s="153" t="s">
        <v>117</v>
      </c>
      <c r="K16" s="675" t="s">
        <v>508</v>
      </c>
      <c r="L16" s="45"/>
      <c r="N16" s="770"/>
      <c r="O16" s="771"/>
    </row>
    <row r="17" spans="2:15" ht="18.75" customHeight="1">
      <c r="B17" s="44" t="s">
        <v>192</v>
      </c>
      <c r="D17" s="170" t="s">
        <v>219</v>
      </c>
      <c r="F17" s="761"/>
      <c r="G17" s="713"/>
      <c r="H17" s="762"/>
      <c r="J17" s="153" t="s">
        <v>116</v>
      </c>
      <c r="K17" s="675"/>
      <c r="L17" s="45"/>
      <c r="N17" s="770"/>
      <c r="O17" s="771"/>
    </row>
    <row r="18" spans="2:15" ht="18.75" customHeight="1">
      <c r="B18" s="44" t="s">
        <v>193</v>
      </c>
      <c r="D18" s="170" t="s">
        <v>220</v>
      </c>
      <c r="F18" s="373"/>
      <c r="G18" s="388"/>
      <c r="H18" s="374" t="s">
        <v>185</v>
      </c>
      <c r="J18" s="152"/>
      <c r="K18" s="675"/>
      <c r="L18" s="45"/>
      <c r="N18" s="770"/>
      <c r="O18" s="771"/>
    </row>
    <row r="19" spans="2:15" ht="18.75" customHeight="1">
      <c r="B19" s="44" t="s">
        <v>194</v>
      </c>
      <c r="D19" s="170" t="s">
        <v>221</v>
      </c>
      <c r="F19" s="375" t="s">
        <v>339</v>
      </c>
      <c r="G19" s="49"/>
      <c r="H19" s="376"/>
      <c r="J19" s="153" t="s">
        <v>114</v>
      </c>
      <c r="K19" s="394"/>
      <c r="L19" s="45"/>
      <c r="N19" s="770"/>
      <c r="O19" s="771"/>
    </row>
    <row r="20" spans="2:15" ht="18.75" customHeight="1">
      <c r="B20" s="44" t="s">
        <v>195</v>
      </c>
      <c r="D20" s="170" t="s">
        <v>222</v>
      </c>
      <c r="F20" s="765" t="s">
        <v>353</v>
      </c>
      <c r="G20" s="766"/>
      <c r="H20" s="767"/>
      <c r="J20" s="22"/>
      <c r="K20" s="49"/>
      <c r="L20" s="50"/>
      <c r="N20" s="669" t="s">
        <v>348</v>
      </c>
      <c r="O20" s="671"/>
    </row>
    <row r="21" spans="2:15" ht="18.75" customHeight="1">
      <c r="B21" s="22" t="s">
        <v>182</v>
      </c>
      <c r="C21" s="49"/>
      <c r="D21" s="171" t="s">
        <v>223</v>
      </c>
      <c r="F21" s="373"/>
      <c r="G21" s="389">
        <v>1234567</v>
      </c>
      <c r="H21" s="374" t="s">
        <v>185</v>
      </c>
      <c r="J21" s="16" t="s">
        <v>296</v>
      </c>
      <c r="K21" s="47"/>
      <c r="L21" s="48"/>
      <c r="N21" s="669"/>
      <c r="O21" s="671"/>
    </row>
    <row r="22" spans="2:15" ht="18.75" customHeight="1">
      <c r="F22" s="758" t="s">
        <v>490</v>
      </c>
      <c r="G22" s="759"/>
      <c r="H22" s="760"/>
      <c r="J22" s="44"/>
      <c r="K22" s="7" t="s">
        <v>510</v>
      </c>
      <c r="L22" s="590" t="s">
        <v>341</v>
      </c>
      <c r="N22" s="657"/>
      <c r="O22" s="659"/>
    </row>
    <row r="23" spans="2:15" ht="18.75" customHeight="1">
      <c r="F23" s="375" t="s">
        <v>216</v>
      </c>
      <c r="G23" s="49"/>
      <c r="H23" s="376"/>
      <c r="J23" s="731" t="s">
        <v>466</v>
      </c>
      <c r="K23" s="732"/>
      <c r="L23" s="733"/>
    </row>
    <row r="24" spans="2:15" ht="18.75" customHeight="1">
      <c r="B24" s="378" t="s">
        <v>334</v>
      </c>
      <c r="C24" s="379"/>
      <c r="D24" s="379"/>
      <c r="E24" s="379"/>
      <c r="H24" s="374"/>
      <c r="J24" s="126" t="s">
        <v>118</v>
      </c>
      <c r="K24" s="591">
        <v>1112346</v>
      </c>
      <c r="L24" s="169" t="s">
        <v>185</v>
      </c>
      <c r="N24" s="723" t="s">
        <v>349</v>
      </c>
      <c r="O24" s="724"/>
    </row>
    <row r="25" spans="2:15" ht="18.75" customHeight="1">
      <c r="B25" s="380" t="s">
        <v>187</v>
      </c>
      <c r="C25" s="389">
        <v>2345678</v>
      </c>
      <c r="D25" s="382" t="s">
        <v>185</v>
      </c>
      <c r="F25" s="372" t="s">
        <v>336</v>
      </c>
      <c r="G25" s="47"/>
      <c r="H25" s="377"/>
      <c r="J25" s="615" t="s">
        <v>127</v>
      </c>
      <c r="K25" s="591"/>
      <c r="L25" s="169" t="s">
        <v>185</v>
      </c>
      <c r="N25" s="725"/>
      <c r="O25" s="726"/>
    </row>
    <row r="26" spans="2:15" ht="18" customHeight="1">
      <c r="B26" s="678" t="s">
        <v>340</v>
      </c>
      <c r="C26" s="681"/>
      <c r="D26" s="692"/>
      <c r="F26" s="126"/>
      <c r="G26" s="389">
        <v>1234567</v>
      </c>
      <c r="H26" s="374" t="s">
        <v>185</v>
      </c>
      <c r="J26" s="736" t="s">
        <v>491</v>
      </c>
      <c r="K26" s="737"/>
      <c r="L26" s="738"/>
      <c r="N26" s="131" t="s">
        <v>134</v>
      </c>
      <c r="O26" s="344"/>
    </row>
    <row r="27" spans="2:15" ht="18" customHeight="1">
      <c r="B27" s="753" t="s">
        <v>315</v>
      </c>
      <c r="C27" s="754"/>
      <c r="D27" s="755"/>
      <c r="F27" s="22" t="s">
        <v>337</v>
      </c>
      <c r="G27" s="49"/>
      <c r="H27" s="376"/>
      <c r="J27" s="720" t="s">
        <v>492</v>
      </c>
      <c r="K27" s="721"/>
      <c r="L27" s="722"/>
      <c r="N27" s="131" t="s">
        <v>257</v>
      </c>
      <c r="O27" s="344"/>
    </row>
    <row r="28" spans="2:15" ht="18" customHeight="1">
      <c r="B28" s="693" t="s">
        <v>213</v>
      </c>
      <c r="C28" s="694"/>
      <c r="D28" s="398" t="s">
        <v>301</v>
      </c>
      <c r="F28" s="370" t="s">
        <v>344</v>
      </c>
      <c r="H28" s="374"/>
      <c r="J28" s="213" t="s">
        <v>493</v>
      </c>
      <c r="K28" s="734" t="s">
        <v>301</v>
      </c>
      <c r="L28" s="735"/>
      <c r="N28" s="131" t="s">
        <v>256</v>
      </c>
      <c r="O28" s="397"/>
    </row>
    <row r="29" spans="2:15" ht="18" customHeight="1">
      <c r="B29" s="690" t="s">
        <v>211</v>
      </c>
      <c r="C29" s="691"/>
      <c r="D29" s="692"/>
      <c r="F29" s="131"/>
      <c r="G29" s="388">
        <v>234567</v>
      </c>
      <c r="H29" s="374" t="s">
        <v>185</v>
      </c>
      <c r="J29" s="680" t="s">
        <v>211</v>
      </c>
      <c r="K29" s="681"/>
      <c r="L29" s="679"/>
      <c r="N29" s="131" t="s">
        <v>258</v>
      </c>
      <c r="O29" s="398"/>
    </row>
    <row r="30" spans="2:15" ht="18" customHeight="1">
      <c r="B30" s="678" t="s">
        <v>259</v>
      </c>
      <c r="C30" s="679"/>
      <c r="D30" s="392">
        <v>31846</v>
      </c>
      <c r="E30" s="381"/>
      <c r="F30" s="702" t="s">
        <v>335</v>
      </c>
      <c r="G30" s="703"/>
      <c r="H30" s="704"/>
      <c r="J30" s="715" t="s">
        <v>207</v>
      </c>
      <c r="K30" s="716"/>
      <c r="L30" s="717"/>
      <c r="N30" s="131" t="s">
        <v>354</v>
      </c>
      <c r="O30" s="398"/>
    </row>
    <row r="31" spans="2:15" ht="18" customHeight="1">
      <c r="B31" s="695" t="s">
        <v>379</v>
      </c>
      <c r="C31" s="696"/>
      <c r="D31" s="697"/>
      <c r="G31" s="7"/>
      <c r="H31" s="7" t="s">
        <v>308</v>
      </c>
      <c r="J31" s="152" t="s">
        <v>299</v>
      </c>
      <c r="K31" s="591">
        <v>11111</v>
      </c>
      <c r="L31" s="169" t="s">
        <v>185</v>
      </c>
      <c r="N31" s="131" t="s">
        <v>355</v>
      </c>
      <c r="O31" s="399"/>
    </row>
    <row r="32" spans="2:15" ht="18" customHeight="1">
      <c r="B32" s="698"/>
      <c r="C32" s="685"/>
      <c r="D32" s="699"/>
      <c r="F32" s="7"/>
      <c r="H32" s="371">
        <f>'②印刷(基礎控除)'!H33</f>
        <v>3637959</v>
      </c>
      <c r="J32" s="187" t="s">
        <v>300</v>
      </c>
      <c r="K32" s="591">
        <v>22222</v>
      </c>
      <c r="L32" s="169" t="s">
        <v>185</v>
      </c>
      <c r="N32" s="153" t="s">
        <v>264</v>
      </c>
      <c r="O32" s="393"/>
    </row>
    <row r="33" spans="2:15" ht="18" customHeight="1">
      <c r="B33" s="698"/>
      <c r="C33" s="685"/>
      <c r="D33" s="699"/>
      <c r="G33" s="7" t="s">
        <v>368</v>
      </c>
      <c r="H33" s="21">
        <f>'②印刷(基礎控除)'!H34</f>
        <v>0</v>
      </c>
      <c r="J33" s="709" t="s">
        <v>271</v>
      </c>
      <c r="K33" s="710"/>
      <c r="L33" s="711"/>
      <c r="N33" s="707" t="s">
        <v>143</v>
      </c>
      <c r="O33" s="705"/>
    </row>
    <row r="34" spans="2:15" ht="18" customHeight="1">
      <c r="B34" s="404"/>
      <c r="C34" s="700" t="s">
        <v>378</v>
      </c>
      <c r="D34" s="701"/>
      <c r="G34" s="7" t="s">
        <v>380</v>
      </c>
      <c r="H34" s="21">
        <f>'②印刷(基礎控除)'!H35</f>
        <v>0</v>
      </c>
      <c r="J34" s="712"/>
      <c r="K34" s="713"/>
      <c r="L34" s="714"/>
      <c r="N34" s="708"/>
      <c r="O34" s="706"/>
    </row>
    <row r="35" spans="2:15" ht="18" customHeight="1">
      <c r="J35" s="588" t="s">
        <v>224</v>
      </c>
      <c r="K35" s="589">
        <f>設定!D2</f>
        <v>45666</v>
      </c>
      <c r="L35" s="577"/>
      <c r="N35" s="763" t="s">
        <v>255</v>
      </c>
      <c r="O35" s="764"/>
    </row>
    <row r="36" spans="2:15" ht="18" customHeight="1">
      <c r="J36" s="684" t="s">
        <v>253</v>
      </c>
      <c r="K36" s="685"/>
      <c r="L36" s="686"/>
      <c r="N36" s="179" t="s">
        <v>203</v>
      </c>
      <c r="O36" s="344" t="s">
        <v>141</v>
      </c>
    </row>
    <row r="37" spans="2:15" ht="18" customHeight="1">
      <c r="J37" s="684"/>
      <c r="K37" s="685"/>
      <c r="L37" s="686"/>
      <c r="N37" s="662" t="s">
        <v>204</v>
      </c>
      <c r="O37" s="664"/>
    </row>
    <row r="38" spans="2:15" ht="18" customHeight="1">
      <c r="J38" s="684"/>
      <c r="K38" s="685"/>
      <c r="L38" s="686"/>
    </row>
    <row r="39" spans="2:15" ht="18" customHeight="1">
      <c r="J39" s="687"/>
      <c r="K39" s="688"/>
      <c r="L39" s="689"/>
      <c r="N39" s="17" t="s">
        <v>362</v>
      </c>
      <c r="O39" s="43"/>
    </row>
    <row r="40" spans="2:15" ht="18" customHeight="1">
      <c r="N40" s="739"/>
      <c r="O40" s="740"/>
    </row>
    <row r="41" spans="2:15" ht="18" customHeight="1">
      <c r="N41" s="739"/>
      <c r="O41" s="740"/>
    </row>
    <row r="42" spans="2:15" ht="18" customHeight="1">
      <c r="N42" s="741"/>
      <c r="O42" s="742"/>
    </row>
    <row r="43" spans="2:15">
      <c r="N43" t="s">
        <v>326</v>
      </c>
    </row>
    <row r="50" spans="2:13" ht="12" customHeight="1">
      <c r="F50" s="5">
        <f>IF(C34=F51,1,0)</f>
        <v>0</v>
      </c>
      <c r="J50" s="349"/>
    </row>
    <row r="51" spans="2:13" ht="12" customHeight="1">
      <c r="B51" t="s">
        <v>188</v>
      </c>
      <c r="F51" s="648" t="s">
        <v>367</v>
      </c>
      <c r="G51" s="650"/>
      <c r="J51" s="7" t="s">
        <v>296</v>
      </c>
      <c r="K51" s="2" t="str">
        <f>L22</f>
        <v>有</v>
      </c>
    </row>
    <row r="52" spans="2:13" ht="12" customHeight="1">
      <c r="B52" s="5" t="str">
        <f>設定!I22</f>
        <v>させない</v>
      </c>
      <c r="F52" s="648" t="s">
        <v>378</v>
      </c>
      <c r="G52" s="650"/>
      <c r="J52" s="5" t="s">
        <v>341</v>
      </c>
      <c r="K52" s="5" t="s">
        <v>322</v>
      </c>
    </row>
    <row r="53" spans="2:13" ht="12" customHeight="1">
      <c r="B53" s="5" t="str">
        <f>設定!C23</f>
        <v>させる</v>
      </c>
      <c r="J53" s="620" t="s">
        <v>512</v>
      </c>
      <c r="K53" s="166">
        <f>'②印刷(基礎控除)'!K55</f>
        <v>562346</v>
      </c>
    </row>
    <row r="54" spans="2:13" ht="12" customHeight="1">
      <c r="B54" s="2" t="str">
        <f>設定!C24</f>
        <v>させない</v>
      </c>
      <c r="J54" s="126" t="s">
        <v>196</v>
      </c>
      <c r="K54" s="181">
        <f>'②印刷(基礎控除)'!K56</f>
        <v>0</v>
      </c>
    </row>
    <row r="55" spans="2:13" ht="12" customHeight="1">
      <c r="G55" s="25" t="s">
        <v>135</v>
      </c>
      <c r="H55" s="25" t="str">
        <f>設定!O1</f>
        <v/>
      </c>
      <c r="J55" s="167" t="s">
        <v>206</v>
      </c>
      <c r="K55" s="168">
        <f>IF(L22=K52,0,SUM(K31:K32))</f>
        <v>33333</v>
      </c>
    </row>
    <row r="56" spans="2:13" ht="12" customHeight="1">
      <c r="B56" s="17" t="s">
        <v>226</v>
      </c>
      <c r="C56" s="182">
        <f>設定!D1</f>
        <v>45657</v>
      </c>
      <c r="J56" s="421" t="s">
        <v>197</v>
      </c>
      <c r="K56" s="168">
        <f>SUM(K53:K55)</f>
        <v>595679</v>
      </c>
    </row>
    <row r="57" spans="2:13" ht="12" customHeight="1">
      <c r="M57" s="4"/>
    </row>
    <row r="58" spans="2:13" ht="12" customHeight="1">
      <c r="B58" t="str">
        <f>設定!C13</f>
        <v>１１月の提出の段階で、現勤務先の給与収入を入力</v>
      </c>
      <c r="G58" s="621" t="s">
        <v>511</v>
      </c>
      <c r="H58" s="166">
        <f>'②印刷(基礎控除)'!H59</f>
        <v>684567</v>
      </c>
      <c r="J58" t="s">
        <v>244</v>
      </c>
      <c r="K58" s="38" t="s">
        <v>125</v>
      </c>
    </row>
    <row r="59" spans="2:13" ht="12" customHeight="1">
      <c r="B59" s="5" t="str">
        <f>設定!I13</f>
        <v>させない</v>
      </c>
      <c r="G59" s="131" t="s">
        <v>196</v>
      </c>
      <c r="H59" s="446">
        <f>'②印刷(基礎控除)'!H60</f>
        <v>1484258</v>
      </c>
      <c r="K59" s="38" t="s">
        <v>126</v>
      </c>
    </row>
    <row r="60" spans="2:13" ht="12" customHeight="1">
      <c r="B60" s="5" t="str">
        <f>設定!C14</f>
        <v>させる</v>
      </c>
      <c r="G60" s="151" t="s">
        <v>206</v>
      </c>
      <c r="H60" s="168">
        <f>G29+G26</f>
        <v>1469134</v>
      </c>
      <c r="K60" s="41" t="str">
        <f>K6</f>
        <v>該当</v>
      </c>
      <c r="L60" s="349"/>
      <c r="M60" s="4"/>
    </row>
    <row r="61" spans="2:13" ht="12" customHeight="1">
      <c r="B61" s="2" t="str">
        <f>設定!C15</f>
        <v>させない</v>
      </c>
      <c r="G61" s="32" t="s">
        <v>197</v>
      </c>
      <c r="H61" s="168">
        <f>SUM(H58:H60)</f>
        <v>3637959</v>
      </c>
      <c r="L61" s="349"/>
    </row>
    <row r="62" spans="2:13" ht="12" customHeight="1">
      <c r="L62" s="349"/>
    </row>
    <row r="63" spans="2:13" ht="12" customHeight="1">
      <c r="B63" t="s">
        <v>262</v>
      </c>
      <c r="D63" s="351">
        <f>設定!D1-5</f>
        <v>45652</v>
      </c>
      <c r="K63" s="38" t="s">
        <v>122</v>
      </c>
    </row>
    <row r="64" spans="2:13" ht="12" customHeight="1">
      <c r="B64" s="654" t="str">
        <f>設定!B19</f>
        <v>１月になり、源泉徴収票が交付されたら、こちらに現在の勤務先での給料支払額を入力して申告書を完成させて再度提出してください。１１月の段階では入力不要です。</v>
      </c>
      <c r="C64" s="655"/>
      <c r="D64" s="656"/>
      <c r="K64" s="38" t="s">
        <v>121</v>
      </c>
    </row>
    <row r="65" spans="2:10" ht="12" customHeight="1">
      <c r="B65" s="669"/>
      <c r="C65" s="670"/>
      <c r="D65" s="671"/>
    </row>
    <row r="66" spans="2:10" ht="12" customHeight="1">
      <c r="B66" s="669"/>
      <c r="C66" s="670"/>
      <c r="D66" s="671"/>
    </row>
    <row r="67" spans="2:10" ht="12" customHeight="1">
      <c r="B67" s="669"/>
      <c r="C67" s="670"/>
      <c r="D67" s="671"/>
      <c r="G67" s="38" t="str">
        <f>'②印刷(基礎控除)'!EC4</f>
        <v>1000万円以下</v>
      </c>
      <c r="J67" s="35" t="s">
        <v>245</v>
      </c>
    </row>
    <row r="68" spans="2:10" ht="12" customHeight="1">
      <c r="B68" s="657"/>
      <c r="C68" s="658"/>
      <c r="D68" s="659"/>
      <c r="G68" s="38" t="str">
        <f>'②印刷(基礎控除)'!EC5</f>
        <v>1000万円超2000万円以下</v>
      </c>
      <c r="J68" s="38" t="s">
        <v>141</v>
      </c>
    </row>
    <row r="69" spans="2:10" ht="12" customHeight="1">
      <c r="G69" s="38" t="str">
        <f>'②印刷(基礎控除)'!EC6</f>
        <v>2000万円超</v>
      </c>
      <c r="J69" s="38" t="s">
        <v>142</v>
      </c>
    </row>
    <row r="70" spans="2:10" ht="12" customHeight="1">
      <c r="B70" t="s">
        <v>263</v>
      </c>
      <c r="J70" s="613" t="str">
        <f>O36</f>
        <v>記載あり</v>
      </c>
    </row>
    <row r="71" spans="2:10" ht="12" customHeight="1">
      <c r="B71" s="654" t="str">
        <f>設定!B17</f>
        <v>現勤務先からの本年の給与支払額の見積額を入力してください。</v>
      </c>
      <c r="C71" s="655"/>
      <c r="D71" s="656"/>
    </row>
    <row r="72" spans="2:10" ht="12" customHeight="1">
      <c r="B72" s="669"/>
      <c r="C72" s="670"/>
      <c r="D72" s="671"/>
      <c r="J72" s="215" t="s">
        <v>246</v>
      </c>
    </row>
    <row r="73" spans="2:10" ht="12" customHeight="1">
      <c r="B73" s="657"/>
      <c r="C73" s="658"/>
      <c r="D73" s="659"/>
      <c r="J73" s="5">
        <f>DATEDIF(K14,C56+1,"Y")</f>
        <v>55</v>
      </c>
    </row>
    <row r="74" spans="2:10" ht="12" customHeight="1"/>
    <row r="75" spans="2:10" ht="12" customHeight="1"/>
    <row r="76" spans="2:10" ht="12" customHeight="1"/>
    <row r="77" spans="2:10" ht="12" customHeight="1">
      <c r="J77" t="s">
        <v>372</v>
      </c>
    </row>
    <row r="78" spans="2:10" ht="12" customHeight="1">
      <c r="J78" s="3" t="s">
        <v>247</v>
      </c>
    </row>
    <row r="79" spans="2:10" ht="12" customHeight="1">
      <c r="J79" s="3" t="s">
        <v>248</v>
      </c>
    </row>
    <row r="80" spans="2:10" ht="12" customHeight="1">
      <c r="J80" s="2" t="str">
        <f>O6</f>
        <v>該当</v>
      </c>
    </row>
    <row r="81" spans="10:10" ht="12" customHeight="1"/>
    <row r="82" spans="10:10" ht="12" customHeight="1">
      <c r="J82" t="s">
        <v>373</v>
      </c>
    </row>
    <row r="83" spans="10:10" ht="12" customHeight="1">
      <c r="J83" s="5">
        <f>'②印刷(基礎控除)'!M78</f>
        <v>1</v>
      </c>
    </row>
    <row r="84" spans="10:10" ht="12" customHeight="1">
      <c r="J84" t="s">
        <v>374</v>
      </c>
    </row>
    <row r="85" spans="10:10" ht="12" customHeight="1">
      <c r="J85" s="5">
        <f>'②印刷(基礎控除)'!M80</f>
        <v>0</v>
      </c>
    </row>
    <row r="86" spans="10:10" ht="12" customHeight="1"/>
    <row r="87" spans="10:10" ht="12" customHeight="1"/>
    <row r="88" spans="10:10" ht="12" customHeight="1"/>
    <row r="89" spans="10:10" ht="12" customHeight="1"/>
    <row r="90" spans="10:10" ht="12" customHeight="1"/>
    <row r="91" spans="10:10" ht="12" customHeight="1"/>
    <row r="92" spans="10:10" ht="12" customHeight="1"/>
    <row r="93" spans="10:10" ht="12" customHeight="1"/>
    <row r="94" spans="10:10" ht="12" customHeight="1"/>
    <row r="95" spans="10:10" ht="12" customHeight="1"/>
    <row r="96" spans="10:10"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75" customHeight="1"/>
    <row r="147" ht="12.75" customHeight="1"/>
    <row r="148" ht="12.75" customHeight="1"/>
    <row r="149" ht="12.75" customHeight="1"/>
    <row r="150" ht="13.5" customHeight="1"/>
    <row r="151" ht="12.75" customHeight="1"/>
  </sheetData>
  <mergeCells count="51">
    <mergeCell ref="N40:O42"/>
    <mergeCell ref="C5:D5"/>
    <mergeCell ref="G5:H5"/>
    <mergeCell ref="C8:H8"/>
    <mergeCell ref="N5:O5"/>
    <mergeCell ref="F14:H14"/>
    <mergeCell ref="B27:D27"/>
    <mergeCell ref="C14:D14"/>
    <mergeCell ref="B26:D26"/>
    <mergeCell ref="B13:C13"/>
    <mergeCell ref="F22:H22"/>
    <mergeCell ref="F15:H17"/>
    <mergeCell ref="N35:O35"/>
    <mergeCell ref="F20:H20"/>
    <mergeCell ref="N15:O19"/>
    <mergeCell ref="N20:O22"/>
    <mergeCell ref="J36:L39"/>
    <mergeCell ref="J23:L23"/>
    <mergeCell ref="N37:O37"/>
    <mergeCell ref="K28:L28"/>
    <mergeCell ref="J26:L26"/>
    <mergeCell ref="N3:O3"/>
    <mergeCell ref="B12:C12"/>
    <mergeCell ref="J3:L3"/>
    <mergeCell ref="J27:L27"/>
    <mergeCell ref="N24:O25"/>
    <mergeCell ref="N7:O9"/>
    <mergeCell ref="E5:F5"/>
    <mergeCell ref="B31:D33"/>
    <mergeCell ref="C34:D34"/>
    <mergeCell ref="F30:H30"/>
    <mergeCell ref="O33:O34"/>
    <mergeCell ref="N33:N34"/>
    <mergeCell ref="J33:L34"/>
    <mergeCell ref="J30:L30"/>
    <mergeCell ref="K1:L1"/>
    <mergeCell ref="K2:L2"/>
    <mergeCell ref="B71:D73"/>
    <mergeCell ref="B3:H3"/>
    <mergeCell ref="K16:K18"/>
    <mergeCell ref="D12:D13"/>
    <mergeCell ref="B30:C30"/>
    <mergeCell ref="J29:L29"/>
    <mergeCell ref="J5:K5"/>
    <mergeCell ref="J7:L8"/>
    <mergeCell ref="J9:L11"/>
    <mergeCell ref="B29:D29"/>
    <mergeCell ref="B64:D68"/>
    <mergeCell ref="B28:C28"/>
    <mergeCell ref="F51:G51"/>
    <mergeCell ref="F52:G52"/>
  </mergeCells>
  <phoneticPr fontId="2"/>
  <conditionalFormatting sqref="B31:D33">
    <cfRule type="expression" dxfId="55" priority="2">
      <formula>$C$25&gt;600000</formula>
    </cfRule>
  </conditionalFormatting>
  <conditionalFormatting sqref="C34:D34">
    <cfRule type="expression" dxfId="54" priority="4">
      <formula>$C$25&gt;600000</formula>
    </cfRule>
  </conditionalFormatting>
  <conditionalFormatting sqref="D28 D30">
    <cfRule type="expression" dxfId="53" priority="358">
      <formula>$C$25&gt;0</formula>
    </cfRule>
  </conditionalFormatting>
  <conditionalFormatting sqref="F51:G52">
    <cfRule type="expression" dxfId="51" priority="3">
      <formula>$C$25&gt;600000</formula>
    </cfRule>
  </conditionalFormatting>
  <conditionalFormatting sqref="K2">
    <cfRule type="expression" dxfId="49" priority="35">
      <formula>NOT(OR(LEN(K2)=13,LEN(K2)=0))</formula>
    </cfRule>
  </conditionalFormatting>
  <conditionalFormatting sqref="K12:K15 K19 L22">
    <cfRule type="expression" dxfId="48" priority="532">
      <formula>$K$6=$K$59</formula>
    </cfRule>
  </conditionalFormatting>
  <conditionalFormatting sqref="K16:K18">
    <cfRule type="expression" dxfId="47" priority="535">
      <formula>$K$6=$K$58</formula>
    </cfRule>
    <cfRule type="expression" dxfId="46" priority="536">
      <formula>$K$15=$K$63</formula>
    </cfRule>
  </conditionalFormatting>
  <conditionalFormatting sqref="K19 O28">
    <cfRule type="expression" dxfId="45" priority="326">
      <formula>$B$52=$B$54</formula>
    </cfRule>
  </conditionalFormatting>
  <conditionalFormatting sqref="K24:K25 K31:K32">
    <cfRule type="expression" dxfId="44" priority="1">
      <formula>$L$22=$J$52</formula>
    </cfRule>
  </conditionalFormatting>
  <conditionalFormatting sqref="K28">
    <cfRule type="expression" dxfId="43" priority="531">
      <formula>$K$25&gt;0</formula>
    </cfRule>
  </conditionalFormatting>
  <conditionalFormatting sqref="L22">
    <cfRule type="expression" dxfId="42" priority="457">
      <formula>$K$59=$K$60</formula>
    </cfRule>
  </conditionalFormatting>
  <conditionalFormatting sqref="N40">
    <cfRule type="expression" dxfId="41" priority="538">
      <formula>AND($O$36=$J$69,OR($O$11=$J$78,$O$13=$J$78,$O$14=$J$78))</formula>
    </cfRule>
  </conditionalFormatting>
  <conditionalFormatting sqref="O11:O14">
    <cfRule type="expression" dxfId="40" priority="539">
      <formula>$O$6=$K$59</formula>
    </cfRule>
  </conditionalFormatting>
  <conditionalFormatting sqref="O26:O32">
    <cfRule type="expression" dxfId="39" priority="540">
      <formula>OR($O$12=$K$59,$O$13=$K$59,$O$14=$K$59)</formula>
    </cfRule>
  </conditionalFormatting>
  <conditionalFormatting sqref="O33">
    <cfRule type="expression" dxfId="38" priority="541">
      <formula>AND(OR($O$12=$K$59,$O$13=$K$59,$O$14=$K$59),$O$32=$K$63)</formula>
    </cfRule>
  </conditionalFormatting>
  <conditionalFormatting sqref="O36">
    <cfRule type="expression" dxfId="37" priority="542">
      <formula>OR($O$11=$J$78,$O$13=$J$78,$O$14=$J$78)</formula>
    </cfRule>
  </conditionalFormatting>
  <dataValidations count="16">
    <dataValidation imeMode="hiragana" allowBlank="1" showInputMessage="1" showErrorMessage="1" sqref="K13 K16:K18 N40:O42" xr:uid="{00000000-0002-0000-0200-000000000000}"/>
    <dataValidation imeMode="off" allowBlank="1" showInputMessage="1" showErrorMessage="1" sqref="O31 O28" xr:uid="{00000000-0002-0000-0200-000001000000}"/>
    <dataValidation imeMode="fullKatakana" allowBlank="1" showInputMessage="1" showErrorMessage="1" sqref="K12 O27 G5" xr:uid="{00000000-0002-0000-0200-000002000000}"/>
    <dataValidation imeMode="on" allowBlank="1" showInputMessage="1" showErrorMessage="1" sqref="O26 O33 O30" xr:uid="{00000000-0002-0000-0200-000003000000}"/>
    <dataValidation type="list" allowBlank="1" showInputMessage="1" showErrorMessage="1" sqref="B13:C13" xr:uid="{00000000-0002-0000-0200-000004000000}">
      <formula1>$B$15:$B$21</formula1>
    </dataValidation>
    <dataValidation type="list" allowBlank="1" showInputMessage="1" showErrorMessage="1" sqref="L22" xr:uid="{00000000-0002-0000-0200-000005000000}">
      <formula1>$J$52:$K$52</formula1>
    </dataValidation>
    <dataValidation type="list" allowBlank="1" showInputMessage="1" showErrorMessage="1" sqref="C34:D34" xr:uid="{00000000-0002-0000-0200-000006000000}">
      <formula1>$F$51:$F$52</formula1>
    </dataValidation>
    <dataValidation type="list" allowBlank="1" showInputMessage="1" showErrorMessage="1" sqref="K28:L28 D28" xr:uid="{00000000-0002-0000-0200-000007000000}">
      <formula1>$G$67:$G$69</formula1>
    </dataValidation>
    <dataValidation type="list" allowBlank="1" showInputMessage="1" showErrorMessage="1" sqref="K6" xr:uid="{00000000-0002-0000-0200-000008000000}">
      <formula1>$K$58:$K$59</formula1>
    </dataValidation>
    <dataValidation type="list" imeMode="hiragana" allowBlank="1" showInputMessage="1" showErrorMessage="1" sqref="K15 O32" xr:uid="{00000000-0002-0000-0200-000009000000}">
      <formula1>$K$63:$K$64</formula1>
    </dataValidation>
    <dataValidation type="list" imeMode="hiragana" allowBlank="1" showInputMessage="1" showErrorMessage="1" sqref="O36" xr:uid="{00000000-0002-0000-0200-00000A000000}">
      <formula1>$J$68:$J$69</formula1>
    </dataValidation>
    <dataValidation type="list" allowBlank="1" showInputMessage="1" showErrorMessage="1" sqref="O36" xr:uid="{00000000-0002-0000-0200-00000B000000}">
      <formula1>$J$68:$J$69</formula1>
    </dataValidation>
    <dataValidation type="list" allowBlank="1" showInputMessage="1" showErrorMessage="1" sqref="O6 O11:O14" xr:uid="{00000000-0002-0000-0200-00000C000000}">
      <formula1>$J$78:$J$79</formula1>
    </dataValidation>
    <dataValidation type="date" allowBlank="1" showInputMessage="1" showErrorMessage="1" sqref="D30" xr:uid="{DF7334EC-0F66-47F0-8824-A28E69493A13}">
      <formula1>9863</formula1>
      <formula2>63314</formula2>
    </dataValidation>
    <dataValidation type="date" imeMode="off" operator="greaterThanOrEqual" allowBlank="1" showInputMessage="1" showErrorMessage="1" sqref="K14" xr:uid="{12D89507-E610-4654-AFCA-06739AD4F294}">
      <formula1>6941</formula1>
    </dataValidation>
    <dataValidation type="date" imeMode="off" operator="greaterThan" allowBlank="1" showInputMessage="1" showErrorMessage="1" sqref="O29" xr:uid="{11E9FB4E-7E16-4E6A-9562-017B14C67476}">
      <formula1>3655</formula1>
    </dataValidation>
  </dataValidations>
  <pageMargins left="0.42" right="0.36" top="0.28000000000000003" bottom="0.17" header="0.3" footer="0.13"/>
  <pageSetup paperSize="9" scale="77"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8" id="{DFCD9923-14F2-4A9E-A43B-E1098D68BC14}">
            <xm:f>$D$63&lt;設定!$D$3</xm:f>
            <x14:dxf>
              <fill>
                <patternFill>
                  <bgColor theme="5" tint="0.59996337778862885"/>
                </patternFill>
              </fill>
            </x14:dxf>
          </x14:cfRule>
          <xm:sqref>F15 F18 H18 F19:H19</xm:sqref>
        </x14:conditionalFormatting>
        <x14:conditionalFormatting xmlns:xm="http://schemas.microsoft.com/office/excel/2006/main">
          <x14:cfRule type="expression" priority="354" id="{00000000-000E-0000-0200-00005A010000}">
            <xm:f>AND($B$59=$B$61,$D$63&gt;設定!$D$3)</xm:f>
            <x14:dxf>
              <fill>
                <patternFill patternType="lightHorizontal">
                  <bgColor auto="1"/>
                </patternFill>
              </fill>
            </x14:dxf>
          </x14:cfRule>
          <xm:sqref>G18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200-00000D000000}">
          <x14:formula1>
            <xm:f>設定!$L$6:$L$110</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EM152"/>
  <sheetViews>
    <sheetView showGridLines="0" tabSelected="1" topLeftCell="M37" zoomScale="91" zoomScaleNormal="91" workbookViewId="0">
      <selection activeCell="BY68" sqref="BY68:CC69"/>
    </sheetView>
  </sheetViews>
  <sheetFormatPr defaultRowHeight="13.5"/>
  <cols>
    <col min="1" max="18" width="10.25" customWidth="1"/>
    <col min="19" max="19" width="9" customWidth="1"/>
    <col min="26" max="26" width="9.75" bestFit="1" customWidth="1"/>
    <col min="35" max="35" width="5.375" customWidth="1"/>
    <col min="39" max="41" width="2.25" customWidth="1"/>
    <col min="42" max="42" width="3.125" customWidth="1"/>
    <col min="43" max="43" width="2.5" customWidth="1"/>
    <col min="44" max="46" width="2" customWidth="1"/>
    <col min="47" max="47" width="3.375" customWidth="1"/>
    <col min="48" max="48" width="1.25" customWidth="1"/>
    <col min="49" max="50" width="2.25" customWidth="1"/>
    <col min="51" max="51" width="1.375" customWidth="1"/>
    <col min="52" max="95" width="2.5" customWidth="1"/>
    <col min="96" max="96" width="1.25" customWidth="1"/>
    <col min="97" max="97" width="3.75" customWidth="1"/>
    <col min="98" max="98" width="2.5" customWidth="1"/>
    <col min="99" max="106" width="2.25" customWidth="1"/>
    <col min="107" max="107" width="10.375" customWidth="1"/>
    <col min="108" max="108" width="7" customWidth="1"/>
    <col min="109" max="111" width="5.75" customWidth="1"/>
    <col min="112" max="112" width="9.75" bestFit="1" customWidth="1"/>
    <col min="115" max="115" width="15.875" customWidth="1"/>
    <col min="116" max="128" width="8.25" customWidth="1"/>
    <col min="129" max="131" width="10.125" customWidth="1"/>
    <col min="132" max="132" width="10.875" bestFit="1" customWidth="1"/>
  </cols>
  <sheetData>
    <row r="1" spans="2:142" ht="12.75" customHeight="1">
      <c r="B1" s="219" t="s">
        <v>350</v>
      </c>
      <c r="J1" s="25" t="s">
        <v>13</v>
      </c>
      <c r="K1" s="344" t="str">
        <f>'①入力(基礎控除)'!K1</f>
        <v>ああああ</v>
      </c>
      <c r="N1" s="117" t="s">
        <v>95</v>
      </c>
      <c r="O1" s="344" t="str">
        <f>'①入力(基礎控除)'!O1</f>
        <v>千葉市中央区あああああ１１１１－１１１１１１</v>
      </c>
      <c r="DY1" t="s">
        <v>205</v>
      </c>
      <c r="EC1" t="s">
        <v>447</v>
      </c>
    </row>
    <row r="2" spans="2:142" ht="12.75" customHeight="1">
      <c r="B2" s="219" t="s">
        <v>359</v>
      </c>
      <c r="H2" s="219"/>
      <c r="J2" s="25" t="s">
        <v>15</v>
      </c>
      <c r="K2" s="343" t="str">
        <f>'①入力(基礎控除)'!K2</f>
        <v>1234567891234</v>
      </c>
      <c r="N2" s="25" t="s">
        <v>14</v>
      </c>
      <c r="O2" s="342" t="str">
        <f>'①入力(基礎控除)'!O2</f>
        <v>給与の支払い者おおおお</v>
      </c>
      <c r="DT2" s="16" t="s">
        <v>376</v>
      </c>
      <c r="DU2" s="47"/>
      <c r="DV2" s="47"/>
      <c r="DW2" s="47"/>
      <c r="DX2" s="48"/>
      <c r="DY2" s="782" t="s">
        <v>199</v>
      </c>
      <c r="DZ2" s="783"/>
      <c r="EA2" s="210">
        <f>G22+G19</f>
        <v>1234567</v>
      </c>
      <c r="EC2" t="s">
        <v>427</v>
      </c>
      <c r="ED2" s="4"/>
      <c r="EE2" s="4"/>
      <c r="EF2" s="4"/>
      <c r="EG2" s="4" t="s">
        <v>428</v>
      </c>
    </row>
    <row r="3" spans="2:142" ht="12.75" customHeight="1">
      <c r="C3" s="219" t="s">
        <v>360</v>
      </c>
      <c r="L3" s="219"/>
      <c r="DS3" s="11" t="s">
        <v>375</v>
      </c>
      <c r="DT3" s="784" t="s">
        <v>370</v>
      </c>
      <c r="DU3" s="785"/>
      <c r="DV3" s="785"/>
      <c r="DW3" s="785"/>
      <c r="DX3" s="786"/>
      <c r="DY3" s="782" t="s">
        <v>208</v>
      </c>
      <c r="DZ3" s="783"/>
      <c r="EA3" s="78">
        <f>MAX(VLOOKUP(EA2,DY7:EA16,3),0)</f>
        <v>684567</v>
      </c>
      <c r="EC3" s="25"/>
      <c r="ED3" s="25" t="s">
        <v>429</v>
      </c>
      <c r="EE3" s="25" t="s">
        <v>430</v>
      </c>
      <c r="EF3" s="4"/>
      <c r="EG3" s="33" t="s">
        <v>429</v>
      </c>
      <c r="EH3" s="6">
        <v>1300000</v>
      </c>
    </row>
    <row r="4" spans="2:142" ht="12.75" customHeight="1">
      <c r="B4" s="672" t="s">
        <v>333</v>
      </c>
      <c r="C4" s="673"/>
      <c r="D4" s="673"/>
      <c r="E4" s="673"/>
      <c r="F4" s="673"/>
      <c r="G4" s="673"/>
      <c r="H4" s="674"/>
      <c r="J4" s="672" t="s">
        <v>268</v>
      </c>
      <c r="K4" s="673"/>
      <c r="L4" s="674"/>
      <c r="N4" s="672" t="s">
        <v>267</v>
      </c>
      <c r="O4" s="674"/>
      <c r="DS4" s="421">
        <f>M80</f>
        <v>0</v>
      </c>
      <c r="DT4" s="787"/>
      <c r="DU4" s="788"/>
      <c r="DV4" s="788"/>
      <c r="DW4" s="788"/>
      <c r="DX4" s="789"/>
      <c r="DY4" s="16" t="s">
        <v>368</v>
      </c>
      <c r="DZ4" s="47"/>
      <c r="EA4" s="15">
        <f>MAX(0,ROUNDUP((MIN(10000000,EA2)-8500000)*0.1,0))*DS4*(-1)</f>
        <v>0</v>
      </c>
      <c r="EC4" s="569" t="s">
        <v>431</v>
      </c>
      <c r="ED4" s="33">
        <v>600000</v>
      </c>
      <c r="EE4" s="33">
        <v>1100000</v>
      </c>
      <c r="EF4" s="4"/>
      <c r="EG4" s="33" t="s">
        <v>430</v>
      </c>
      <c r="EH4" s="6">
        <v>3300000</v>
      </c>
    </row>
    <row r="5" spans="2:142" ht="12.75" customHeight="1">
      <c r="B5" s="84"/>
      <c r="C5" s="84"/>
      <c r="D5" s="84"/>
      <c r="E5" s="54"/>
      <c r="F5" s="84"/>
      <c r="G5" s="84"/>
      <c r="H5" s="84"/>
      <c r="DT5" s="16" t="s">
        <v>377</v>
      </c>
      <c r="DU5" s="47"/>
      <c r="DV5" s="47"/>
      <c r="DW5" s="47"/>
      <c r="DX5" s="48"/>
      <c r="DY5" s="22"/>
      <c r="DZ5" s="49" t="s">
        <v>369</v>
      </c>
      <c r="EA5" s="14">
        <f>MAX(0,MIN(EA2,100000)+MIN(EF28,100000)-100000)*DS7*(-1)</f>
        <v>0</v>
      </c>
      <c r="EC5" s="569" t="s">
        <v>214</v>
      </c>
      <c r="ED5" s="33">
        <f>ED4-100000</f>
        <v>500000</v>
      </c>
      <c r="EE5" s="33">
        <f>EE4-100000</f>
        <v>1000000</v>
      </c>
      <c r="EF5" s="4"/>
      <c r="EG5" s="4"/>
    </row>
    <row r="6" spans="2:142" ht="12.75" customHeight="1">
      <c r="B6" s="154" t="s">
        <v>110</v>
      </c>
      <c r="C6" s="790" t="str">
        <f>'①入力(基礎控除)'!C5</f>
        <v>あああ１</v>
      </c>
      <c r="D6" s="791"/>
      <c r="F6" s="25" t="s">
        <v>12</v>
      </c>
      <c r="G6" s="790" t="str">
        <f>'①入力(基礎控除)'!G5</f>
        <v>アアアアアイチ</v>
      </c>
      <c r="H6" s="791"/>
      <c r="J6" s="682" t="s">
        <v>200</v>
      </c>
      <c r="K6" s="683"/>
      <c r="L6" s="212"/>
      <c r="N6" s="748" t="s">
        <v>201</v>
      </c>
      <c r="O6" s="749"/>
      <c r="DS6" s="11" t="s">
        <v>375</v>
      </c>
      <c r="DT6" s="773" t="s">
        <v>371</v>
      </c>
      <c r="DU6" s="774"/>
      <c r="DV6" s="774"/>
      <c r="DW6" s="774"/>
      <c r="DX6" s="775"/>
      <c r="DY6" s="20" t="s">
        <v>118</v>
      </c>
      <c r="DZ6" s="33"/>
      <c r="EA6" s="99" t="s">
        <v>119</v>
      </c>
      <c r="EC6" s="569" t="s">
        <v>432</v>
      </c>
      <c r="ED6" s="33">
        <f>ED5-100000</f>
        <v>400000</v>
      </c>
      <c r="EE6" s="33">
        <f>EE5-100000</f>
        <v>900000</v>
      </c>
      <c r="EF6" s="4"/>
      <c r="EG6" s="4"/>
    </row>
    <row r="7" spans="2:142" ht="12.75" customHeight="1">
      <c r="G7" s="2"/>
      <c r="H7" s="2"/>
      <c r="J7" s="46" t="s">
        <v>124</v>
      </c>
      <c r="K7" s="428" t="str">
        <f>'①入力(基礎控除)'!K6</f>
        <v>該当</v>
      </c>
      <c r="L7" s="45"/>
      <c r="N7" s="207" t="s">
        <v>124</v>
      </c>
      <c r="O7" s="436" t="str">
        <f>'①入力(基礎控除)'!O6</f>
        <v>該当</v>
      </c>
      <c r="DS7" s="421">
        <f>IF(AND(F51=1,H60&gt;0),1,0)</f>
        <v>0</v>
      </c>
      <c r="DT7" s="773"/>
      <c r="DU7" s="774"/>
      <c r="DV7" s="774"/>
      <c r="DW7" s="774"/>
      <c r="DX7" s="775"/>
      <c r="DY7" s="211">
        <v>0</v>
      </c>
      <c r="DZ7" s="33"/>
      <c r="EA7" s="211">
        <f>MAX(EA2-550000,0)</f>
        <v>684567</v>
      </c>
      <c r="EC7" s="570"/>
      <c r="ED7" s="204"/>
      <c r="EE7" s="204"/>
      <c r="EF7" s="4"/>
      <c r="EG7" s="4"/>
    </row>
    <row r="8" spans="2:142" ht="12.75" customHeight="1">
      <c r="G8" s="2"/>
      <c r="H8" s="2"/>
      <c r="J8" s="684" t="s">
        <v>243</v>
      </c>
      <c r="K8" s="685"/>
      <c r="L8" s="686"/>
      <c r="N8" s="727" t="s">
        <v>306</v>
      </c>
      <c r="O8" s="728"/>
      <c r="DT8" s="776"/>
      <c r="DU8" s="777"/>
      <c r="DV8" s="777"/>
      <c r="DW8" s="777"/>
      <c r="DX8" s="778"/>
      <c r="DY8" s="9">
        <v>1619000</v>
      </c>
      <c r="DZ8" s="9"/>
      <c r="EA8" s="9">
        <v>1069000</v>
      </c>
      <c r="EC8" s="4"/>
      <c r="ED8" s="4"/>
      <c r="EE8" s="4"/>
      <c r="EF8" s="4"/>
      <c r="EG8" s="571"/>
    </row>
    <row r="9" spans="2:142" ht="12.75" customHeight="1">
      <c r="B9" s="155" t="s">
        <v>254</v>
      </c>
      <c r="C9" s="779" t="str">
        <f>'①入力(基礎控除)'!C8</f>
        <v>柏市おおおおお町１１１－９９９９　おおおおお荘２２２号</v>
      </c>
      <c r="D9" s="780"/>
      <c r="E9" s="780"/>
      <c r="F9" s="780"/>
      <c r="G9" s="780"/>
      <c r="H9" s="781"/>
      <c r="J9" s="684"/>
      <c r="K9" s="685"/>
      <c r="L9" s="686"/>
      <c r="N9" s="727"/>
      <c r="O9" s="728"/>
      <c r="DY9" s="9">
        <v>1620000</v>
      </c>
      <c r="DZ9" s="9"/>
      <c r="EA9" s="9">
        <v>1070000</v>
      </c>
      <c r="EC9" s="4" t="s">
        <v>433</v>
      </c>
      <c r="ED9" s="4"/>
      <c r="EE9" s="4"/>
      <c r="EF9" s="4"/>
      <c r="EG9" s="4"/>
    </row>
    <row r="10" spans="2:142" ht="12.75" customHeight="1">
      <c r="B10" s="4"/>
      <c r="C10" s="341"/>
      <c r="G10" s="2"/>
      <c r="H10" s="2"/>
      <c r="J10" s="684" t="s">
        <v>305</v>
      </c>
      <c r="K10" s="685"/>
      <c r="L10" s="686"/>
      <c r="N10" s="729"/>
      <c r="O10" s="730"/>
      <c r="DY10" s="9">
        <v>1622000</v>
      </c>
      <c r="DZ10" s="9"/>
      <c r="EA10" s="9">
        <v>1072000</v>
      </c>
      <c r="EC10" s="25" t="s">
        <v>434</v>
      </c>
      <c r="ED10" s="25" t="s">
        <v>435</v>
      </c>
      <c r="EE10" s="25" t="s">
        <v>436</v>
      </c>
      <c r="EF10" s="25" t="s">
        <v>437</v>
      </c>
      <c r="EG10" s="25" t="s">
        <v>438</v>
      </c>
    </row>
    <row r="11" spans="2:142" ht="12.75" customHeight="1">
      <c r="G11" s="2"/>
      <c r="H11" s="7"/>
      <c r="J11" s="684"/>
      <c r="K11" s="685"/>
      <c r="L11" s="686"/>
      <c r="N11" s="349"/>
      <c r="O11" s="349"/>
      <c r="DY11" s="9">
        <v>1624000</v>
      </c>
      <c r="DZ11" s="9"/>
      <c r="EA11" s="9">
        <v>1074000</v>
      </c>
      <c r="EC11" s="569" t="str">
        <f>EC4</f>
        <v>1000万円以下</v>
      </c>
      <c r="ED11" s="33">
        <v>275000</v>
      </c>
      <c r="EE11" s="109">
        <f>ED11+410000</f>
        <v>685000</v>
      </c>
      <c r="EF11" s="109">
        <f>EE11+770000</f>
        <v>1455000</v>
      </c>
      <c r="EG11" s="109">
        <f>EF11+500000</f>
        <v>1955000</v>
      </c>
    </row>
    <row r="12" spans="2:142" ht="12.75" customHeight="1">
      <c r="B12" t="s">
        <v>338</v>
      </c>
      <c r="J12" s="687"/>
      <c r="K12" s="688"/>
      <c r="L12" s="689"/>
      <c r="N12" s="150" t="s">
        <v>130</v>
      </c>
      <c r="O12" s="440" t="str">
        <f>'①入力(基礎控除)'!O11</f>
        <v>該当</v>
      </c>
      <c r="DY12" s="9">
        <v>1628000</v>
      </c>
      <c r="DZ12" s="9">
        <f>ROUNDDOWN(EA2/4,-3)</f>
        <v>308000</v>
      </c>
      <c r="EA12" s="9">
        <f>INT(DZ12*2.4+100000)</f>
        <v>839200</v>
      </c>
      <c r="EC12" s="569" t="str">
        <f t="shared" ref="EC12:EC13" si="0">EC5</f>
        <v>1000万円超2000万円以下</v>
      </c>
      <c r="ED12" s="33">
        <f>ED11-100000</f>
        <v>175000</v>
      </c>
      <c r="EE12" s="33">
        <f t="shared" ref="EE12:EG13" si="1">EE11-100000</f>
        <v>585000</v>
      </c>
      <c r="EF12" s="33">
        <f t="shared" si="1"/>
        <v>1355000</v>
      </c>
      <c r="EG12" s="33">
        <f t="shared" si="1"/>
        <v>1855000</v>
      </c>
    </row>
    <row r="13" spans="2:142" ht="12.75" customHeight="1">
      <c r="B13" s="718" t="s">
        <v>184</v>
      </c>
      <c r="C13" s="719"/>
      <c r="D13" s="676" t="s">
        <v>252</v>
      </c>
      <c r="F13" t="s">
        <v>351</v>
      </c>
      <c r="J13" s="172" t="s">
        <v>189</v>
      </c>
      <c r="K13" s="429" t="str">
        <f>'①入力(基礎控除)'!K12</f>
        <v>イイイイイイイ１</v>
      </c>
      <c r="L13" s="48"/>
      <c r="N13" s="131" t="s">
        <v>131</v>
      </c>
      <c r="O13" s="440" t="str">
        <f>'①入力(基礎控除)'!O12</f>
        <v>非該当</v>
      </c>
      <c r="DY13" s="9">
        <v>1800000</v>
      </c>
      <c r="DZ13" s="9">
        <f>ROUNDDOWN(EA2/4,-3)</f>
        <v>308000</v>
      </c>
      <c r="EA13" s="9">
        <f>INT(DZ13*2.8-80000)</f>
        <v>782400</v>
      </c>
      <c r="EC13" s="569" t="str">
        <f t="shared" si="0"/>
        <v>2000万円超</v>
      </c>
      <c r="ED13" s="33">
        <f>ED12-100000</f>
        <v>75000</v>
      </c>
      <c r="EE13" s="33">
        <f t="shared" si="1"/>
        <v>485000</v>
      </c>
      <c r="EF13" s="33">
        <f t="shared" si="1"/>
        <v>1255000</v>
      </c>
      <c r="EG13" s="33">
        <f t="shared" si="1"/>
        <v>1755000</v>
      </c>
    </row>
    <row r="14" spans="2:142" ht="12.75" customHeight="1">
      <c r="B14" s="790" t="str">
        <f>'①入力(基礎控除)'!B13</f>
        <v>900万円以下</v>
      </c>
      <c r="C14" s="791"/>
      <c r="D14" s="677"/>
      <c r="F14" t="s">
        <v>343</v>
      </c>
      <c r="J14" s="153" t="s">
        <v>113</v>
      </c>
      <c r="K14" s="430" t="str">
        <f>'①入力(基礎控除)'!K13</f>
        <v>五五イ伊</v>
      </c>
      <c r="L14" s="45"/>
      <c r="N14" s="131" t="s">
        <v>133</v>
      </c>
      <c r="O14" s="440" t="str">
        <f>'①入力(基礎控除)'!O13</f>
        <v>非該当</v>
      </c>
      <c r="DY14" s="9">
        <v>3600000</v>
      </c>
      <c r="DZ14" s="9">
        <f>ROUNDDOWN(EA2/4,-3)</f>
        <v>308000</v>
      </c>
      <c r="EA14" s="9">
        <f>INT(DZ14*3.2-440000)</f>
        <v>545600</v>
      </c>
      <c r="EC14" s="4" t="s">
        <v>446</v>
      </c>
      <c r="ED14" s="4"/>
      <c r="EE14" s="4"/>
      <c r="EF14" s="4"/>
      <c r="EG14" s="4"/>
      <c r="EI14" t="s">
        <v>445</v>
      </c>
    </row>
    <row r="15" spans="2:142" ht="12.75" customHeight="1">
      <c r="B15" s="152" t="s">
        <v>269</v>
      </c>
      <c r="C15" s="756" t="s">
        <v>217</v>
      </c>
      <c r="D15" s="757"/>
      <c r="F15" s="750" t="s">
        <v>352</v>
      </c>
      <c r="G15" s="751"/>
      <c r="H15" s="752"/>
      <c r="J15" s="153" t="s">
        <v>115</v>
      </c>
      <c r="K15" s="431">
        <f>'①入力(基礎控除)'!K14</f>
        <v>25329</v>
      </c>
      <c r="L15" s="45"/>
      <c r="N15" s="151" t="s">
        <v>132</v>
      </c>
      <c r="O15" s="440" t="str">
        <f>'①入力(基礎控除)'!O14</f>
        <v>非該当</v>
      </c>
      <c r="DY15" s="9">
        <v>6600000</v>
      </c>
      <c r="DZ15" s="9"/>
      <c r="EA15" s="9">
        <f>INT(EA2*0.9-1100000)</f>
        <v>11110</v>
      </c>
      <c r="EC15" s="38" t="s">
        <v>303</v>
      </c>
      <c r="ED15" s="572">
        <f>'①入力(基礎控除)'!D30</f>
        <v>31846</v>
      </c>
      <c r="EE15" s="31" t="s">
        <v>127</v>
      </c>
      <c r="EF15" s="573">
        <f>'①入力(基礎控除)'!C25</f>
        <v>2345678</v>
      </c>
      <c r="EI15" s="38" t="s">
        <v>303</v>
      </c>
      <c r="EJ15" s="572">
        <f>'①入力(基礎控除)'!K14</f>
        <v>25329</v>
      </c>
      <c r="EK15" s="31" t="s">
        <v>127</v>
      </c>
      <c r="EL15" s="573">
        <f>'①入力(基礎控除)'!K25</f>
        <v>0</v>
      </c>
    </row>
    <row r="16" spans="2:142" ht="12.75" customHeight="1">
      <c r="B16" s="44" t="s">
        <v>181</v>
      </c>
      <c r="D16" s="170" t="s">
        <v>365</v>
      </c>
      <c r="F16" s="761" t="str">
        <f>IF(B60=B62,B65,B72)</f>
        <v>１月になり、源泉徴収票が交付されたら、こちらに現在の勤務先での給料支払額を入力して申告書を完成させて再度提出してください。１１月の段階では入力不要です。</v>
      </c>
      <c r="G16" s="713"/>
      <c r="H16" s="762"/>
      <c r="J16" s="153" t="s">
        <v>251</v>
      </c>
      <c r="K16" s="432" t="s">
        <v>121</v>
      </c>
      <c r="L16" s="45"/>
      <c r="N16" s="768" t="s">
        <v>347</v>
      </c>
      <c r="O16" s="769"/>
      <c r="DY16" s="9">
        <v>8500000</v>
      </c>
      <c r="DZ16" s="9"/>
      <c r="EA16" s="9">
        <f>EA2-1950000</f>
        <v>-715433</v>
      </c>
      <c r="EC16" s="193" t="s">
        <v>226</v>
      </c>
      <c r="ED16" s="574">
        <f>設定!D1</f>
        <v>45657</v>
      </c>
      <c r="EE16" s="31" t="s">
        <v>210</v>
      </c>
      <c r="EF16" s="85">
        <f>DATEDIF(ED15,ED16+1,"Y")</f>
        <v>37</v>
      </c>
      <c r="EI16" s="193" t="s">
        <v>226</v>
      </c>
      <c r="EJ16" s="574">
        <f>設定!D1</f>
        <v>45657</v>
      </c>
      <c r="EK16" s="31" t="s">
        <v>210</v>
      </c>
      <c r="EL16" s="85">
        <f>DATEDIF(EJ15,EJ16+1,"Y")</f>
        <v>55</v>
      </c>
    </row>
    <row r="17" spans="2:143" ht="12.75" customHeight="1">
      <c r="B17" s="44" t="s">
        <v>191</v>
      </c>
      <c r="D17" s="170" t="s">
        <v>218</v>
      </c>
      <c r="F17" s="761"/>
      <c r="G17" s="713"/>
      <c r="H17" s="762"/>
      <c r="J17" s="153" t="s">
        <v>117</v>
      </c>
      <c r="K17" s="797" t="str">
        <f>'①入力(基礎控除)'!K16</f>
        <v>いろは市ううう町１１１－５５５</v>
      </c>
      <c r="L17" s="45"/>
      <c r="N17" s="770"/>
      <c r="O17" s="771"/>
      <c r="DY17" s="183" t="s">
        <v>304</v>
      </c>
      <c r="DZ17" s="41"/>
      <c r="EA17" s="4"/>
      <c r="EC17" s="665" t="s">
        <v>439</v>
      </c>
      <c r="ED17" s="665"/>
      <c r="EE17" s="772" t="str">
        <f>'①入力(基礎控除)'!D28</f>
        <v>1000万円以下</v>
      </c>
      <c r="EF17" s="665"/>
      <c r="EI17" s="665" t="s">
        <v>439</v>
      </c>
      <c r="EJ17" s="665"/>
      <c r="EK17" s="772" t="str">
        <f>'①入力(基礎控除)'!K28</f>
        <v>1000万円以下</v>
      </c>
      <c r="EL17" s="772"/>
    </row>
    <row r="18" spans="2:143" ht="12.75" customHeight="1">
      <c r="B18" s="44" t="s">
        <v>192</v>
      </c>
      <c r="D18" s="170" t="s">
        <v>219</v>
      </c>
      <c r="F18" s="761"/>
      <c r="G18" s="713"/>
      <c r="H18" s="762"/>
      <c r="J18" s="153" t="s">
        <v>116</v>
      </c>
      <c r="K18" s="797"/>
      <c r="L18" s="45"/>
      <c r="N18" s="770"/>
      <c r="O18" s="771"/>
      <c r="DF18" s="183"/>
      <c r="DY18" s="782" t="s">
        <v>199</v>
      </c>
      <c r="DZ18" s="783"/>
      <c r="EA18" s="210">
        <f>K26</f>
        <v>1112346</v>
      </c>
    </row>
    <row r="19" spans="2:143" ht="12.75" customHeight="1">
      <c r="B19" s="44" t="s">
        <v>193</v>
      </c>
      <c r="D19" s="170" t="s">
        <v>220</v>
      </c>
      <c r="F19" s="373"/>
      <c r="G19" s="424">
        <f>'①入力(基礎控除)'!G18</f>
        <v>0</v>
      </c>
      <c r="H19" s="423" t="s">
        <v>185</v>
      </c>
      <c r="J19" s="152"/>
      <c r="K19" s="797"/>
      <c r="L19" s="45"/>
      <c r="N19" s="770"/>
      <c r="O19" s="771"/>
      <c r="DF19" s="183"/>
      <c r="DG19" s="4"/>
      <c r="DY19" s="782" t="s">
        <v>208</v>
      </c>
      <c r="DZ19" s="783"/>
      <c r="EA19" s="78">
        <f>MAX(VLOOKUP(EA18,DY22:EA31,3),0)</f>
        <v>562346</v>
      </c>
      <c r="EC19" s="49" t="s">
        <v>444</v>
      </c>
      <c r="ED19" s="124"/>
      <c r="EE19" s="124"/>
      <c r="EF19" s="124"/>
      <c r="EG19" s="124"/>
      <c r="EI19" s="49" t="s">
        <v>443</v>
      </c>
      <c r="EJ19" s="124"/>
      <c r="EK19" s="124"/>
      <c r="EL19" s="124"/>
      <c r="EM19" s="124"/>
    </row>
    <row r="20" spans="2:143" ht="12.75" customHeight="1">
      <c r="B20" s="44" t="s">
        <v>194</v>
      </c>
      <c r="D20" s="170" t="s">
        <v>221</v>
      </c>
      <c r="F20" s="375" t="s">
        <v>339</v>
      </c>
      <c r="G20" s="49"/>
      <c r="H20" s="376"/>
      <c r="J20" s="153" t="s">
        <v>114</v>
      </c>
      <c r="K20" s="433">
        <f>'①入力(基礎控除)'!K19</f>
        <v>0</v>
      </c>
      <c r="L20" s="45"/>
      <c r="N20" s="770"/>
      <c r="O20" s="771"/>
      <c r="DF20" s="183"/>
      <c r="DG20" s="183"/>
      <c r="EC20" s="25" t="s">
        <v>127</v>
      </c>
      <c r="ED20" s="25" t="s">
        <v>209</v>
      </c>
      <c r="EE20" s="25" t="s">
        <v>440</v>
      </c>
      <c r="EF20" s="25"/>
      <c r="EG20" s="25" t="s">
        <v>441</v>
      </c>
      <c r="EI20" s="25" t="s">
        <v>127</v>
      </c>
      <c r="EJ20" s="25" t="s">
        <v>209</v>
      </c>
      <c r="EK20" s="25" t="s">
        <v>440</v>
      </c>
      <c r="EL20" s="25"/>
      <c r="EM20" s="25" t="s">
        <v>441</v>
      </c>
    </row>
    <row r="21" spans="2:143" ht="12.75" customHeight="1">
      <c r="B21" s="44" t="s">
        <v>195</v>
      </c>
      <c r="D21" s="170" t="s">
        <v>222</v>
      </c>
      <c r="F21" s="765" t="s">
        <v>353</v>
      </c>
      <c r="G21" s="766"/>
      <c r="H21" s="767"/>
      <c r="J21" s="22"/>
      <c r="K21" s="49"/>
      <c r="L21" s="50"/>
      <c r="N21" s="654" t="s">
        <v>348</v>
      </c>
      <c r="O21" s="656"/>
      <c r="DY21" s="20" t="s">
        <v>118</v>
      </c>
      <c r="DZ21" s="33"/>
      <c r="EA21" s="99" t="s">
        <v>119</v>
      </c>
      <c r="EC21" s="25">
        <v>0</v>
      </c>
      <c r="ED21" s="25"/>
      <c r="EE21" s="25"/>
      <c r="EF21" s="25"/>
      <c r="EG21" s="25">
        <v>0</v>
      </c>
      <c r="EI21" s="25">
        <v>0</v>
      </c>
      <c r="EJ21" s="25"/>
      <c r="EK21" s="25"/>
      <c r="EL21" s="25"/>
      <c r="EM21" s="25">
        <v>0</v>
      </c>
    </row>
    <row r="22" spans="2:143" ht="12.75" customHeight="1">
      <c r="B22" s="22" t="s">
        <v>182</v>
      </c>
      <c r="C22" s="49"/>
      <c r="D22" s="171" t="s">
        <v>223</v>
      </c>
      <c r="F22" s="373"/>
      <c r="G22" s="425">
        <f>'①入力(基礎控除)'!G21</f>
        <v>1234567</v>
      </c>
      <c r="H22" s="374" t="s">
        <v>185</v>
      </c>
      <c r="J22" s="709" t="s">
        <v>271</v>
      </c>
      <c r="K22" s="710"/>
      <c r="L22" s="711"/>
      <c r="N22" s="669"/>
      <c r="O22" s="671"/>
      <c r="DY22" s="211">
        <v>0</v>
      </c>
      <c r="DZ22" s="33"/>
      <c r="EA22" s="211">
        <f>MAX(0,EA18-550000)</f>
        <v>562346</v>
      </c>
      <c r="EC22" s="33">
        <f>VLOOKUP(EE17,EC4:EE6,IF(EF16&gt;=65,3,2),FALSE)+1</f>
        <v>600001</v>
      </c>
      <c r="ED22" s="25">
        <v>1</v>
      </c>
      <c r="EE22" s="109">
        <f>EC22-1</f>
        <v>600000</v>
      </c>
      <c r="EF22" s="25"/>
      <c r="EG22" s="33">
        <f>INT($EF$15*ED22-EE22)</f>
        <v>1745678</v>
      </c>
      <c r="EI22" s="33">
        <f>VLOOKUP(EK17,EC4:EE6,IF(EL16&gt;=65,3,2),FALSE)+1</f>
        <v>600001</v>
      </c>
      <c r="EJ22" s="25">
        <v>1</v>
      </c>
      <c r="EK22" s="109">
        <f>EI22-1</f>
        <v>600000</v>
      </c>
      <c r="EL22" s="25"/>
      <c r="EM22" s="33">
        <f>INT($EL$15*EJ22-EK22)</f>
        <v>-600000</v>
      </c>
    </row>
    <row r="23" spans="2:143" ht="12.75" customHeight="1">
      <c r="F23" s="758" t="s">
        <v>186</v>
      </c>
      <c r="G23" s="759"/>
      <c r="H23" s="760"/>
      <c r="J23" s="712"/>
      <c r="K23" s="713"/>
      <c r="L23" s="714"/>
      <c r="N23" s="657"/>
      <c r="O23" s="659"/>
      <c r="DY23" s="9">
        <v>1619000</v>
      </c>
      <c r="DZ23" s="9"/>
      <c r="EA23" s="9">
        <v>1069000</v>
      </c>
      <c r="EC23" s="78">
        <f>IF(EF16&gt;=65,EH4,EH3)</f>
        <v>1300000</v>
      </c>
      <c r="ED23" s="25">
        <v>0.75</v>
      </c>
      <c r="EE23" s="33">
        <f>VLOOKUP($EE$17,$EC$11:$EG$13,EF23,FALSE)</f>
        <v>275000</v>
      </c>
      <c r="EF23" s="25">
        <v>2</v>
      </c>
      <c r="EG23" s="33">
        <f>INT($EF$15*ED23-EE23)</f>
        <v>1484258</v>
      </c>
      <c r="EI23" s="78">
        <f>IF(EL16&gt;=65,EH4,EH3)</f>
        <v>1300000</v>
      </c>
      <c r="EJ23" s="25">
        <v>0.75</v>
      </c>
      <c r="EK23" s="33">
        <f>VLOOKUP($EK$17,$EC$11:$EG$13,EL23,FALSE)</f>
        <v>275000</v>
      </c>
      <c r="EL23" s="25">
        <v>2</v>
      </c>
      <c r="EM23" s="33">
        <f t="shared" ref="EM23:EM26" si="2">INT($EL$15*EJ23-EK23)</f>
        <v>-275000</v>
      </c>
    </row>
    <row r="24" spans="2:143" ht="12.75" customHeight="1">
      <c r="F24" s="375" t="s">
        <v>216</v>
      </c>
      <c r="G24" s="49"/>
      <c r="H24" s="376"/>
      <c r="J24" s="361" t="s">
        <v>224</v>
      </c>
      <c r="K24" s="362">
        <f>設定!D2</f>
        <v>45666</v>
      </c>
      <c r="L24" s="363"/>
      <c r="DP24" t="s">
        <v>237</v>
      </c>
      <c r="DY24" s="9">
        <v>1620000</v>
      </c>
      <c r="DZ24" s="9"/>
      <c r="EA24" s="9">
        <v>1070000</v>
      </c>
      <c r="EC24" s="78">
        <v>4100000</v>
      </c>
      <c r="ED24" s="25">
        <v>0.85</v>
      </c>
      <c r="EE24" s="33">
        <f t="shared" ref="EE24:EE26" si="3">VLOOKUP($EE$17,$EC$11:$EG$13,EF24,FALSE)</f>
        <v>685000</v>
      </c>
      <c r="EF24" s="25">
        <v>3</v>
      </c>
      <c r="EG24" s="33">
        <f>INT($EF$15*ED24-EE24)</f>
        <v>1308826</v>
      </c>
      <c r="EI24" s="78">
        <v>4100000</v>
      </c>
      <c r="EJ24" s="25">
        <v>0.85</v>
      </c>
      <c r="EK24" s="33">
        <f t="shared" ref="EK24:EK26" si="4">VLOOKUP($EK$17,$EC$11:$EG$13,EL24,FALSE)</f>
        <v>685000</v>
      </c>
      <c r="EL24" s="25">
        <v>3</v>
      </c>
      <c r="EM24" s="33">
        <f t="shared" si="2"/>
        <v>-685000</v>
      </c>
    </row>
    <row r="25" spans="2:143" ht="12.75" customHeight="1">
      <c r="B25" s="378" t="s">
        <v>334</v>
      </c>
      <c r="C25" s="379"/>
      <c r="D25" s="379"/>
      <c r="E25" s="379"/>
      <c r="H25" s="374"/>
      <c r="J25" s="44" t="s">
        <v>123</v>
      </c>
      <c r="K25" s="49" t="s">
        <v>342</v>
      </c>
      <c r="L25" s="442" t="str">
        <f>'①入力(基礎控除)'!L22</f>
        <v>有</v>
      </c>
      <c r="N25" s="723" t="s">
        <v>349</v>
      </c>
      <c r="O25" s="724"/>
      <c r="DE25" s="5" t="s">
        <v>363</v>
      </c>
      <c r="DK25" t="s">
        <v>237</v>
      </c>
      <c r="DP25" t="s">
        <v>238</v>
      </c>
      <c r="DY25" s="9">
        <v>1622000</v>
      </c>
      <c r="DZ25" s="9"/>
      <c r="EA25" s="9">
        <v>1072000</v>
      </c>
      <c r="EC25" s="33">
        <v>7700000</v>
      </c>
      <c r="ED25" s="25">
        <v>0.95</v>
      </c>
      <c r="EE25" s="33">
        <f t="shared" si="3"/>
        <v>1455000</v>
      </c>
      <c r="EF25" s="25">
        <v>4</v>
      </c>
      <c r="EG25" s="33">
        <f>INT($EF$15*ED25-EE25)</f>
        <v>773394</v>
      </c>
      <c r="EI25" s="33">
        <v>7700000</v>
      </c>
      <c r="EJ25" s="25">
        <v>0.95</v>
      </c>
      <c r="EK25" s="33">
        <f t="shared" si="4"/>
        <v>1455000</v>
      </c>
      <c r="EL25" s="25">
        <v>4</v>
      </c>
      <c r="EM25" s="33">
        <f t="shared" si="2"/>
        <v>-1455000</v>
      </c>
    </row>
    <row r="26" spans="2:143" ht="12.75" customHeight="1">
      <c r="B26" s="380" t="s">
        <v>187</v>
      </c>
      <c r="C26" s="425">
        <f>'①入力(基礎控除)'!C25</f>
        <v>2345678</v>
      </c>
      <c r="D26" s="382" t="s">
        <v>185</v>
      </c>
      <c r="F26" s="372" t="s">
        <v>336</v>
      </c>
      <c r="G26" s="47"/>
      <c r="H26" s="377"/>
      <c r="J26" s="126" t="s">
        <v>118</v>
      </c>
      <c r="K26" s="434">
        <f>'①入力(基礎控除)'!K24</f>
        <v>1112346</v>
      </c>
      <c r="L26" s="169" t="s">
        <v>185</v>
      </c>
      <c r="N26" s="725"/>
      <c r="O26" s="726"/>
      <c r="CW26" s="7"/>
      <c r="CX26" s="7"/>
      <c r="DK26" t="s">
        <v>238</v>
      </c>
      <c r="DQ26" t="s">
        <v>239</v>
      </c>
      <c r="DY26" s="9">
        <v>1624000</v>
      </c>
      <c r="DZ26" s="9"/>
      <c r="EA26" s="9">
        <v>1074000</v>
      </c>
      <c r="EC26" s="33">
        <v>10000000</v>
      </c>
      <c r="ED26" s="25">
        <v>1</v>
      </c>
      <c r="EE26" s="33">
        <f t="shared" si="3"/>
        <v>1955000</v>
      </c>
      <c r="EF26" s="25">
        <v>5</v>
      </c>
      <c r="EG26" s="33">
        <f>INT($EF$15*ED26-EE26)</f>
        <v>390678</v>
      </c>
      <c r="EI26" s="33">
        <v>10000000</v>
      </c>
      <c r="EJ26" s="25">
        <v>1</v>
      </c>
      <c r="EK26" s="33">
        <f t="shared" si="4"/>
        <v>1955000</v>
      </c>
      <c r="EL26" s="25">
        <v>5</v>
      </c>
      <c r="EM26" s="33">
        <f t="shared" si="2"/>
        <v>-1955000</v>
      </c>
    </row>
    <row r="27" spans="2:143" ht="12.75" customHeight="1">
      <c r="B27" s="678" t="s">
        <v>340</v>
      </c>
      <c r="C27" s="681"/>
      <c r="D27" s="692"/>
      <c r="F27" s="126"/>
      <c r="G27" s="425">
        <f>'①入力(基礎控除)'!G26</f>
        <v>1234567</v>
      </c>
      <c r="H27" s="374" t="s">
        <v>185</v>
      </c>
      <c r="J27" s="126" t="s">
        <v>127</v>
      </c>
      <c r="K27" s="434">
        <f>'①入力(基礎控除)'!K25</f>
        <v>0</v>
      </c>
      <c r="L27" s="169" t="s">
        <v>185</v>
      </c>
      <c r="N27" s="131" t="s">
        <v>134</v>
      </c>
      <c r="O27" s="440">
        <f>'①入力(基礎控除)'!O26</f>
        <v>0</v>
      </c>
      <c r="CW27" s="7"/>
      <c r="DC27" s="129" t="s">
        <v>215</v>
      </c>
      <c r="DE27" s="184">
        <v>1330000</v>
      </c>
      <c r="DK27" s="4">
        <v>1</v>
      </c>
      <c r="DL27" s="196">
        <v>0</v>
      </c>
      <c r="DM27" s="125" t="s">
        <v>181</v>
      </c>
      <c r="DN27" s="201">
        <f t="shared" ref="DN27:DN32" si="5">IF(OR($B$14=DM27,AND($H$62&gt;DL27,$H$62&lt;DL28)),DK27,"")</f>
        <v>1</v>
      </c>
      <c r="DQ27" s="2" t="s">
        <v>236</v>
      </c>
      <c r="DY27" s="9">
        <v>1628000</v>
      </c>
      <c r="DZ27" s="9">
        <f>ROUNDDOWN(EA18/4,-3)</f>
        <v>278000</v>
      </c>
      <c r="EA27" s="9">
        <f>INT(DZ27*2.4+100000)</f>
        <v>767200</v>
      </c>
      <c r="EC27" s="183" t="s">
        <v>446</v>
      </c>
      <c r="ED27" s="4"/>
      <c r="EE27" s="4"/>
      <c r="EF27" s="4"/>
      <c r="EG27" s="4"/>
      <c r="EI27" t="s">
        <v>445</v>
      </c>
    </row>
    <row r="28" spans="2:143" ht="12.75" customHeight="1">
      <c r="B28" s="753" t="s">
        <v>315</v>
      </c>
      <c r="C28" s="754"/>
      <c r="D28" s="755"/>
      <c r="F28" s="22" t="s">
        <v>337</v>
      </c>
      <c r="G28" s="49"/>
      <c r="H28" s="376"/>
      <c r="J28" s="792" t="s">
        <v>295</v>
      </c>
      <c r="K28" s="793"/>
      <c r="L28" s="794"/>
      <c r="N28" s="131" t="s">
        <v>257</v>
      </c>
      <c r="O28" s="440">
        <f>'①入力(基礎控除)'!O27</f>
        <v>0</v>
      </c>
      <c r="DC28" s="193" t="str">
        <f>IF(AND(設定!I22=設定!C24,設定!I24=設定!E25),設定!G25,K20)</f>
        <v>※※※※※※※※※※※※</v>
      </c>
      <c r="DE28" s="185">
        <v>950000</v>
      </c>
      <c r="DK28" s="4">
        <v>2</v>
      </c>
      <c r="DL28" s="197">
        <v>9000001</v>
      </c>
      <c r="DM28" s="4" t="s">
        <v>191</v>
      </c>
      <c r="DN28" s="202" t="str">
        <f t="shared" si="5"/>
        <v/>
      </c>
      <c r="DP28" s="5">
        <v>1</v>
      </c>
      <c r="DQ28" s="62" t="str">
        <f>IF($DR$33=DP28,$DE$25,"")</f>
        <v>レ</v>
      </c>
      <c r="DY28" s="9">
        <v>1800000</v>
      </c>
      <c r="DZ28" s="9">
        <f>ROUNDDOWN(EA18/4,-3)</f>
        <v>278000</v>
      </c>
      <c r="EA28" s="9">
        <f>INT(DZ28*2.8-80000)</f>
        <v>698400</v>
      </c>
      <c r="EC28" s="3" t="s">
        <v>442</v>
      </c>
      <c r="ED28" s="38"/>
      <c r="EE28" s="38"/>
      <c r="EF28" s="33">
        <f>INT(VLOOKUP(EF15,EC21:EG26,5))</f>
        <v>1484258</v>
      </c>
      <c r="EI28" s="3" t="s">
        <v>442</v>
      </c>
      <c r="EJ28" s="38"/>
      <c r="EK28" s="38"/>
      <c r="EL28" s="33">
        <f>INT(VLOOKUP(EL15,EI21:EM26,5))</f>
        <v>0</v>
      </c>
    </row>
    <row r="29" spans="2:143" ht="12.75" customHeight="1">
      <c r="B29" s="678" t="s">
        <v>213</v>
      </c>
      <c r="C29" s="679"/>
      <c r="D29" s="426" t="str">
        <f>'①入力(基礎控除)'!D28</f>
        <v>1000万円以下</v>
      </c>
      <c r="F29" s="370" t="s">
        <v>344</v>
      </c>
      <c r="H29" s="374"/>
      <c r="J29" s="213" t="s">
        <v>270</v>
      </c>
      <c r="K29" s="795" t="str">
        <f>'①入力(基礎控除)'!K28</f>
        <v>1000万円以下</v>
      </c>
      <c r="L29" s="796"/>
      <c r="N29" s="131" t="s">
        <v>256</v>
      </c>
      <c r="O29" s="441">
        <f>'①入力(基礎控除)'!O28</f>
        <v>0</v>
      </c>
      <c r="DC29" s="208">
        <f>K15</f>
        <v>25329</v>
      </c>
      <c r="DE29" s="186">
        <v>480000</v>
      </c>
      <c r="DK29" s="4">
        <v>3</v>
      </c>
      <c r="DL29" s="197">
        <v>9500001</v>
      </c>
      <c r="DM29" s="4" t="s">
        <v>192</v>
      </c>
      <c r="DN29" s="202" t="str">
        <f t="shared" si="5"/>
        <v/>
      </c>
      <c r="DP29" s="5">
        <v>2</v>
      </c>
      <c r="DQ29" s="62" t="str">
        <f t="shared" ref="DQ29:DQ33" si="6">IF($DR$33=DP29,$DE$25,"")</f>
        <v/>
      </c>
      <c r="DY29" s="9">
        <v>3600000</v>
      </c>
      <c r="DZ29" s="9">
        <f>ROUNDDOWN(EA18/4,-3)</f>
        <v>278000</v>
      </c>
      <c r="EA29" s="9">
        <f>INT(DZ29*3.2-440000)</f>
        <v>449600</v>
      </c>
    </row>
    <row r="30" spans="2:143" ht="12.75" customHeight="1">
      <c r="B30" s="678" t="s">
        <v>211</v>
      </c>
      <c r="C30" s="681"/>
      <c r="D30" s="692"/>
      <c r="F30" s="131"/>
      <c r="G30" s="424">
        <f>'①入力(基礎控除)'!G29</f>
        <v>234567</v>
      </c>
      <c r="H30" s="374" t="s">
        <v>185</v>
      </c>
      <c r="J30" s="680" t="s">
        <v>211</v>
      </c>
      <c r="K30" s="681"/>
      <c r="L30" s="679"/>
      <c r="N30" s="131" t="s">
        <v>258</v>
      </c>
      <c r="O30" s="437">
        <f>'①入力(基礎控除)'!O29</f>
        <v>0</v>
      </c>
      <c r="DK30" s="4">
        <v>4</v>
      </c>
      <c r="DL30" s="197">
        <v>10000001</v>
      </c>
      <c r="DM30" s="4" t="s">
        <v>193</v>
      </c>
      <c r="DN30" s="202" t="str">
        <f t="shared" si="5"/>
        <v/>
      </c>
      <c r="DP30" s="5">
        <v>3</v>
      </c>
      <c r="DQ30" s="62" t="str">
        <f t="shared" si="6"/>
        <v/>
      </c>
      <c r="DY30" s="9">
        <v>6600000</v>
      </c>
      <c r="DZ30" s="9"/>
      <c r="EA30" s="9">
        <f>INT(EA18*0.9-1100000)</f>
        <v>-98889</v>
      </c>
    </row>
    <row r="31" spans="2:143" ht="12.75" customHeight="1">
      <c r="B31" s="678" t="s">
        <v>259</v>
      </c>
      <c r="C31" s="679"/>
      <c r="D31" s="427">
        <f>'①入力(基礎控除)'!D30</f>
        <v>31846</v>
      </c>
      <c r="E31" s="381"/>
      <c r="F31" s="702" t="s">
        <v>335</v>
      </c>
      <c r="G31" s="703"/>
      <c r="H31" s="704"/>
      <c r="J31" s="715" t="s">
        <v>207</v>
      </c>
      <c r="K31" s="716"/>
      <c r="L31" s="717"/>
      <c r="N31" s="131" t="s">
        <v>354</v>
      </c>
      <c r="O31" s="437">
        <f>'①入力(基礎控除)'!O30</f>
        <v>0</v>
      </c>
      <c r="DK31" s="4">
        <v>5</v>
      </c>
      <c r="DL31" s="197">
        <v>24000001</v>
      </c>
      <c r="DM31" s="4" t="s">
        <v>194</v>
      </c>
      <c r="DN31" s="202" t="str">
        <f t="shared" si="5"/>
        <v/>
      </c>
      <c r="DP31" s="5">
        <v>4</v>
      </c>
      <c r="DQ31" s="62" t="str">
        <f t="shared" si="6"/>
        <v/>
      </c>
      <c r="DY31" s="9">
        <v>8500000</v>
      </c>
      <c r="DZ31" s="9"/>
      <c r="EA31" s="9">
        <f>EA18-1950000</f>
        <v>-837654</v>
      </c>
    </row>
    <row r="32" spans="2:143" ht="12.75" customHeight="1">
      <c r="B32" s="695" t="s">
        <v>379</v>
      </c>
      <c r="C32" s="696"/>
      <c r="D32" s="697"/>
      <c r="G32" s="7"/>
      <c r="H32" s="7" t="s">
        <v>308</v>
      </c>
      <c r="J32" s="152" t="s">
        <v>299</v>
      </c>
      <c r="K32" s="434">
        <f>'①入力(基礎控除)'!K31</f>
        <v>11111</v>
      </c>
      <c r="L32" s="169" t="s">
        <v>185</v>
      </c>
      <c r="N32" s="131" t="s">
        <v>355</v>
      </c>
      <c r="O32" s="438">
        <f>'①入力(基礎控除)'!O31</f>
        <v>0</v>
      </c>
      <c r="DE32" s="38">
        <v>70</v>
      </c>
      <c r="DF32" t="s">
        <v>307</v>
      </c>
      <c r="DK32" s="4">
        <v>6</v>
      </c>
      <c r="DL32" s="197">
        <v>24500001</v>
      </c>
      <c r="DM32" s="4" t="s">
        <v>195</v>
      </c>
      <c r="DN32" s="202" t="str">
        <f t="shared" si="5"/>
        <v/>
      </c>
      <c r="DP32" s="5">
        <v>5</v>
      </c>
      <c r="DQ32" s="62" t="str">
        <f t="shared" si="6"/>
        <v/>
      </c>
      <c r="DY32" s="4"/>
      <c r="DZ32" s="4"/>
      <c r="EA32" s="4"/>
    </row>
    <row r="33" spans="2:131" ht="12.75" customHeight="1">
      <c r="B33" s="698"/>
      <c r="C33" s="685"/>
      <c r="D33" s="699"/>
      <c r="F33" s="7"/>
      <c r="H33" s="371">
        <f>H62</f>
        <v>3637959</v>
      </c>
      <c r="J33" s="366" t="s">
        <v>300</v>
      </c>
      <c r="K33" s="435">
        <f>'①入力(基礎控除)'!K32</f>
        <v>22222</v>
      </c>
      <c r="L33" s="367" t="s">
        <v>185</v>
      </c>
      <c r="N33" s="153" t="s">
        <v>264</v>
      </c>
      <c r="O33" s="439">
        <f>'①入力(基礎控除)'!O32</f>
        <v>0</v>
      </c>
      <c r="DC33" s="4" t="s">
        <v>231</v>
      </c>
      <c r="DD33" s="4" t="s">
        <v>232</v>
      </c>
      <c r="DK33" s="4">
        <v>7</v>
      </c>
      <c r="DL33" s="198">
        <v>25000001</v>
      </c>
      <c r="DM33" s="124" t="s">
        <v>182</v>
      </c>
      <c r="DN33" s="203" t="str">
        <f>IF(OR($B$14=DM33,$H$62&gt;DL33),DK33,"")</f>
        <v/>
      </c>
      <c r="DP33" s="5">
        <v>6</v>
      </c>
      <c r="DQ33" s="5" t="str">
        <f t="shared" si="6"/>
        <v/>
      </c>
      <c r="DR33" s="5">
        <f>IF(LEN(C6)&gt;0,MAX(DN27:DN33),"")</f>
        <v>1</v>
      </c>
    </row>
    <row r="34" spans="2:131" ht="12.75" customHeight="1">
      <c r="B34" s="698"/>
      <c r="C34" s="685"/>
      <c r="D34" s="699"/>
      <c r="G34" s="7" t="s">
        <v>368</v>
      </c>
      <c r="H34" s="21">
        <f>EA4</f>
        <v>0</v>
      </c>
      <c r="J34" s="727" t="s">
        <v>253</v>
      </c>
      <c r="K34" s="807"/>
      <c r="L34" s="728"/>
      <c r="N34" s="707" t="s">
        <v>143</v>
      </c>
      <c r="O34" s="798">
        <f>'①入力(基礎控除)'!O33</f>
        <v>0</v>
      </c>
      <c r="DC34" s="25" t="str">
        <f>IF(OR(CY67=DL38,CY69=DM38),CL75,"")</f>
        <v/>
      </c>
      <c r="DD34" s="38" t="str">
        <f>IF(OR(CL75=DN38,CL75=DO36),VLOOKUP(BY75*1,DC37:DD46,2),"")</f>
        <v>③</v>
      </c>
      <c r="DE34" s="4"/>
      <c r="DF34" s="4"/>
      <c r="DG34" s="4"/>
      <c r="DJ34" s="4"/>
    </row>
    <row r="35" spans="2:131" ht="12.75" customHeight="1">
      <c r="B35" s="404"/>
      <c r="C35" s="800" t="str">
        <f>'①入力(基礎控除)'!C34</f>
        <v>確定申告をしない</v>
      </c>
      <c r="D35" s="801"/>
      <c r="G35" s="7" t="s">
        <v>380</v>
      </c>
      <c r="H35" s="21">
        <f>EA5</f>
        <v>0</v>
      </c>
      <c r="J35" s="727"/>
      <c r="K35" s="807"/>
      <c r="L35" s="728"/>
      <c r="N35" s="708"/>
      <c r="O35" s="799"/>
      <c r="DB35" s="7" t="s">
        <v>3</v>
      </c>
      <c r="DC35" s="204" t="str">
        <f>IF(DC34="","",HLOOKUP(DC34,DL38:DM42,VLOOKUP(DR33,DF36:DH42,2,FALSE),FALSE))</f>
        <v/>
      </c>
      <c r="DD35" s="204" t="str">
        <f>IF(DD34="",0,HLOOKUP(DD34,DL38:DW42,VLOOKUP(DR33,DF36:DH42,2),FALSE))</f>
        <v>３８万</v>
      </c>
      <c r="DE35" s="4"/>
      <c r="DF35" s="4"/>
      <c r="DG35" s="41" t="s">
        <v>233</v>
      </c>
      <c r="DH35" s="41" t="s">
        <v>241</v>
      </c>
      <c r="DI35" s="4" t="s">
        <v>242</v>
      </c>
      <c r="DJ35" s="4"/>
      <c r="DK35" s="85"/>
      <c r="DL35" s="17" t="s">
        <v>234</v>
      </c>
      <c r="DM35" s="43"/>
      <c r="DN35" s="42" t="s">
        <v>235</v>
      </c>
      <c r="DO35" s="42"/>
      <c r="DP35" s="42"/>
      <c r="DQ35" s="42"/>
      <c r="DR35" s="42"/>
      <c r="DS35" s="42"/>
      <c r="DT35" s="42"/>
      <c r="DU35" s="42"/>
      <c r="DV35" s="42"/>
      <c r="DW35" s="43"/>
      <c r="DY35" s="4"/>
      <c r="DZ35" s="4"/>
      <c r="EA35" s="4"/>
    </row>
    <row r="36" spans="2:131" ht="12.75" customHeight="1">
      <c r="J36" s="727"/>
      <c r="K36" s="807"/>
      <c r="L36" s="728"/>
      <c r="N36" s="763" t="s">
        <v>255</v>
      </c>
      <c r="O36" s="764"/>
      <c r="DC36" s="204"/>
      <c r="DD36" s="204"/>
      <c r="DE36" s="4"/>
      <c r="DF36" s="199">
        <v>1</v>
      </c>
      <c r="DG36" s="25">
        <v>2</v>
      </c>
      <c r="DH36" s="25" t="s">
        <v>128</v>
      </c>
      <c r="DI36" s="25" t="s">
        <v>272</v>
      </c>
      <c r="DJ36" s="4"/>
      <c r="DK36" s="193"/>
      <c r="DL36" s="16"/>
      <c r="DM36" s="48"/>
      <c r="DN36" s="47"/>
      <c r="DO36" s="54" t="s">
        <v>230</v>
      </c>
      <c r="DP36" s="54" t="s">
        <v>230</v>
      </c>
      <c r="DQ36" s="54" t="s">
        <v>230</v>
      </c>
      <c r="DR36" s="54" t="s">
        <v>230</v>
      </c>
      <c r="DS36" s="54" t="s">
        <v>230</v>
      </c>
      <c r="DT36" s="54" t="s">
        <v>230</v>
      </c>
      <c r="DU36" s="54" t="s">
        <v>230</v>
      </c>
      <c r="DV36" s="54" t="s">
        <v>230</v>
      </c>
      <c r="DW36" s="420" t="s">
        <v>230</v>
      </c>
      <c r="DY36" s="4"/>
      <c r="DZ36" s="4"/>
      <c r="EA36" s="4"/>
    </row>
    <row r="37" spans="2:131" ht="12.75" customHeight="1">
      <c r="J37" s="729"/>
      <c r="K37" s="808"/>
      <c r="L37" s="730"/>
      <c r="N37" s="179" t="s">
        <v>203</v>
      </c>
      <c r="O37" s="440" t="str">
        <f>'①入力(基礎控除)'!O36</f>
        <v>記載あり</v>
      </c>
      <c r="DC37" s="9">
        <v>0</v>
      </c>
      <c r="DD37" s="38" t="str">
        <f>DN38</f>
        <v>③</v>
      </c>
      <c r="DE37" s="4"/>
      <c r="DF37" s="199">
        <v>2</v>
      </c>
      <c r="DG37" s="99">
        <v>3</v>
      </c>
      <c r="DH37" s="25" t="s">
        <v>32</v>
      </c>
      <c r="DI37" s="25" t="s">
        <v>272</v>
      </c>
      <c r="DJ37" s="4"/>
      <c r="DK37" s="187" t="s">
        <v>233</v>
      </c>
      <c r="DL37" s="191"/>
      <c r="DM37" s="171"/>
      <c r="DN37" s="124"/>
      <c r="DO37" s="188">
        <v>950001</v>
      </c>
      <c r="DP37" s="188">
        <v>1000001</v>
      </c>
      <c r="DQ37" s="188">
        <v>1050001</v>
      </c>
      <c r="DR37" s="188">
        <v>1100001</v>
      </c>
      <c r="DS37" s="188">
        <v>1150001</v>
      </c>
      <c r="DT37" s="188">
        <v>1200001</v>
      </c>
      <c r="DU37" s="188">
        <v>1250001</v>
      </c>
      <c r="DV37" s="188">
        <v>1300001</v>
      </c>
      <c r="DW37" s="58">
        <f>DV37+30000</f>
        <v>1330001</v>
      </c>
      <c r="DY37" s="4"/>
      <c r="DZ37" s="4"/>
      <c r="EA37" s="4"/>
    </row>
    <row r="38" spans="2:131" ht="12.75" customHeight="1">
      <c r="J38" s="349"/>
      <c r="K38" s="349"/>
      <c r="L38" s="349"/>
      <c r="N38" s="662" t="s">
        <v>204</v>
      </c>
      <c r="O38" s="664"/>
      <c r="DC38" s="38">
        <v>950001</v>
      </c>
      <c r="DD38" s="38" t="str">
        <f t="shared" ref="DD38:DD46" si="7">$DO$36&amp;DC38</f>
        <v>④950001</v>
      </c>
      <c r="DE38" s="4"/>
      <c r="DF38" s="199">
        <v>3</v>
      </c>
      <c r="DG38" s="99">
        <v>4</v>
      </c>
      <c r="DH38" s="25" t="s">
        <v>35</v>
      </c>
      <c r="DI38" s="25" t="s">
        <v>272</v>
      </c>
      <c r="DJ38" s="4"/>
      <c r="DK38" s="194">
        <v>1</v>
      </c>
      <c r="DL38" s="189" t="s">
        <v>227</v>
      </c>
      <c r="DM38" s="189" t="s">
        <v>228</v>
      </c>
      <c r="DN38" s="190" t="s">
        <v>229</v>
      </c>
      <c r="DO38" s="189" t="str">
        <f t="shared" ref="DO38:DW38" si="8">DO36&amp;DO37</f>
        <v>④950001</v>
      </c>
      <c r="DP38" s="189" t="str">
        <f t="shared" si="8"/>
        <v>④1000001</v>
      </c>
      <c r="DQ38" s="189" t="str">
        <f t="shared" si="8"/>
        <v>④1050001</v>
      </c>
      <c r="DR38" s="189" t="str">
        <f t="shared" si="8"/>
        <v>④1100001</v>
      </c>
      <c r="DS38" s="189" t="str">
        <f t="shared" si="8"/>
        <v>④1150001</v>
      </c>
      <c r="DT38" s="189" t="str">
        <f t="shared" si="8"/>
        <v>④1200001</v>
      </c>
      <c r="DU38" s="189" t="str">
        <f t="shared" si="8"/>
        <v>④1250001</v>
      </c>
      <c r="DV38" s="189" t="str">
        <f t="shared" si="8"/>
        <v>④1300001</v>
      </c>
      <c r="DW38" s="189" t="str">
        <f t="shared" si="8"/>
        <v>④1330001</v>
      </c>
      <c r="DY38" s="4"/>
      <c r="DZ38" s="4"/>
      <c r="EA38" s="4"/>
    </row>
    <row r="39" spans="2:131" ht="12.75" customHeight="1">
      <c r="J39" s="349"/>
      <c r="K39" s="349"/>
      <c r="L39" s="349"/>
      <c r="DC39" s="9">
        <f t="shared" ref="DC39:DC45" si="9">+DC38+50000</f>
        <v>1000001</v>
      </c>
      <c r="DD39" s="38" t="str">
        <f t="shared" si="7"/>
        <v>④1000001</v>
      </c>
      <c r="DE39" s="4"/>
      <c r="DF39" s="199">
        <v>4</v>
      </c>
      <c r="DG39" s="99">
        <v>5</v>
      </c>
      <c r="DH39" s="25" t="s">
        <v>129</v>
      </c>
      <c r="DI39" s="25" t="s">
        <v>272</v>
      </c>
      <c r="DJ39" s="4"/>
      <c r="DK39" s="195">
        <v>2</v>
      </c>
      <c r="DL39" s="109" t="s">
        <v>272</v>
      </c>
      <c r="DM39" s="109" t="s">
        <v>275</v>
      </c>
      <c r="DN39" s="216" t="s">
        <v>275</v>
      </c>
      <c r="DO39" s="109" t="s">
        <v>276</v>
      </c>
      <c r="DP39" s="109" t="s">
        <v>277</v>
      </c>
      <c r="DQ39" s="109" t="s">
        <v>278</v>
      </c>
      <c r="DR39" s="109" t="s">
        <v>279</v>
      </c>
      <c r="DS39" s="109" t="s">
        <v>274</v>
      </c>
      <c r="DT39" s="109" t="s">
        <v>280</v>
      </c>
      <c r="DU39" s="109" t="s">
        <v>281</v>
      </c>
      <c r="DV39" s="109" t="s">
        <v>282</v>
      </c>
      <c r="DW39" s="205" t="s">
        <v>240</v>
      </c>
      <c r="DY39" s="4"/>
      <c r="DZ39" s="4"/>
      <c r="EA39" s="4"/>
    </row>
    <row r="40" spans="2:131" ht="12.75" customHeight="1">
      <c r="J40" s="349"/>
      <c r="K40" s="349"/>
      <c r="L40" s="349"/>
      <c r="N40" s="17" t="s">
        <v>362</v>
      </c>
      <c r="O40" s="43"/>
      <c r="DC40" s="9">
        <f t="shared" si="9"/>
        <v>1050001</v>
      </c>
      <c r="DD40" s="38" t="str">
        <f t="shared" si="7"/>
        <v>④1050001</v>
      </c>
      <c r="DE40" s="4"/>
      <c r="DF40" s="199">
        <v>5</v>
      </c>
      <c r="DG40" s="99">
        <v>5</v>
      </c>
      <c r="DH40" s="25" t="s">
        <v>129</v>
      </c>
      <c r="DI40" s="33" t="s">
        <v>273</v>
      </c>
      <c r="DJ40" s="4"/>
      <c r="DK40" s="195">
        <v>3</v>
      </c>
      <c r="DL40" s="109" t="s">
        <v>283</v>
      </c>
      <c r="DM40" s="109" t="s">
        <v>278</v>
      </c>
      <c r="DN40" s="216" t="s">
        <v>278</v>
      </c>
      <c r="DO40" s="109" t="s">
        <v>284</v>
      </c>
      <c r="DP40" s="109" t="s">
        <v>279</v>
      </c>
      <c r="DQ40" s="109" t="s">
        <v>285</v>
      </c>
      <c r="DR40" s="109" t="s">
        <v>286</v>
      </c>
      <c r="DS40" s="109" t="s">
        <v>280</v>
      </c>
      <c r="DT40" s="109" t="s">
        <v>287</v>
      </c>
      <c r="DU40" s="109" t="s">
        <v>288</v>
      </c>
      <c r="DV40" s="109" t="s">
        <v>289</v>
      </c>
      <c r="DW40" s="205" t="s">
        <v>240</v>
      </c>
      <c r="DY40" s="4"/>
      <c r="DZ40" s="4"/>
      <c r="EA40" s="4"/>
    </row>
    <row r="41" spans="2:131" ht="12.75" customHeight="1">
      <c r="J41" s="349"/>
      <c r="N41" s="802">
        <f>'①入力(基礎控除)'!N40</f>
        <v>0</v>
      </c>
      <c r="O41" s="803"/>
      <c r="DC41" s="9">
        <f t="shared" si="9"/>
        <v>1100001</v>
      </c>
      <c r="DD41" s="38" t="str">
        <f t="shared" si="7"/>
        <v>④1100001</v>
      </c>
      <c r="DE41" s="4"/>
      <c r="DF41" s="199">
        <v>6</v>
      </c>
      <c r="DG41" s="99">
        <v>5</v>
      </c>
      <c r="DH41" s="25" t="s">
        <v>129</v>
      </c>
      <c r="DI41" s="33" t="s">
        <v>274</v>
      </c>
      <c r="DJ41" s="4"/>
      <c r="DK41" s="195">
        <v>4</v>
      </c>
      <c r="DL41" s="78" t="s">
        <v>274</v>
      </c>
      <c r="DM41" s="78" t="s">
        <v>290</v>
      </c>
      <c r="DN41" s="217" t="s">
        <v>290</v>
      </c>
      <c r="DO41" s="78" t="s">
        <v>291</v>
      </c>
      <c r="DP41" s="109" t="s">
        <v>280</v>
      </c>
      <c r="DQ41" s="109" t="s">
        <v>292</v>
      </c>
      <c r="DR41" s="109" t="s">
        <v>293</v>
      </c>
      <c r="DS41" s="109" t="s">
        <v>281</v>
      </c>
      <c r="DT41" s="109" t="s">
        <v>288</v>
      </c>
      <c r="DU41" s="109" t="s">
        <v>289</v>
      </c>
      <c r="DV41" s="109" t="s">
        <v>294</v>
      </c>
      <c r="DW41" s="205" t="s">
        <v>240</v>
      </c>
      <c r="DY41" s="4"/>
      <c r="DZ41" s="4"/>
      <c r="EA41" s="4"/>
    </row>
    <row r="42" spans="2:131" ht="12.75" customHeight="1">
      <c r="J42" s="349"/>
      <c r="N42" s="804"/>
      <c r="O42" s="803"/>
      <c r="DC42" s="9">
        <f t="shared" si="9"/>
        <v>1150001</v>
      </c>
      <c r="DD42" s="38" t="str">
        <f t="shared" si="7"/>
        <v>④1150001</v>
      </c>
      <c r="DE42" s="4"/>
      <c r="DF42" s="200">
        <v>7</v>
      </c>
      <c r="DG42" s="99">
        <v>5</v>
      </c>
      <c r="DH42" s="25" t="s">
        <v>129</v>
      </c>
      <c r="DI42" s="33" t="s">
        <v>129</v>
      </c>
      <c r="DJ42" s="4"/>
      <c r="DK42" s="195">
        <v>5</v>
      </c>
      <c r="DL42" s="205" t="s">
        <v>240</v>
      </c>
      <c r="DM42" s="205" t="s">
        <v>240</v>
      </c>
      <c r="DN42" s="205" t="s">
        <v>240</v>
      </c>
      <c r="DO42" s="205" t="s">
        <v>240</v>
      </c>
      <c r="DP42" s="205" t="s">
        <v>240</v>
      </c>
      <c r="DQ42" s="205" t="s">
        <v>240</v>
      </c>
      <c r="DR42" s="205" t="s">
        <v>240</v>
      </c>
      <c r="DS42" s="205" t="s">
        <v>240</v>
      </c>
      <c r="DT42" s="205" t="s">
        <v>240</v>
      </c>
      <c r="DU42" s="205" t="s">
        <v>240</v>
      </c>
      <c r="DV42" s="205" t="s">
        <v>240</v>
      </c>
      <c r="DW42" s="205" t="s">
        <v>240</v>
      </c>
      <c r="DY42" s="4"/>
      <c r="DZ42" s="4"/>
      <c r="EA42" s="4"/>
    </row>
    <row r="43" spans="2:131" ht="12.75" customHeight="1">
      <c r="J43" s="349"/>
      <c r="N43" s="805"/>
      <c r="O43" s="806"/>
      <c r="DC43" s="192">
        <f t="shared" si="9"/>
        <v>1200001</v>
      </c>
      <c r="DD43" s="38" t="str">
        <f t="shared" si="7"/>
        <v>④1200001</v>
      </c>
      <c r="DH43" s="4"/>
      <c r="DI43" s="4"/>
      <c r="DJ43" s="4"/>
      <c r="DK43" s="4"/>
    </row>
    <row r="44" spans="2:131" ht="12.75" customHeight="1">
      <c r="J44" s="349"/>
      <c r="K44" s="349"/>
      <c r="L44" s="349"/>
      <c r="N44" t="s">
        <v>326</v>
      </c>
      <c r="DC44" s="192">
        <f t="shared" si="9"/>
        <v>1250001</v>
      </c>
      <c r="DD44" s="38" t="str">
        <f t="shared" si="7"/>
        <v>④1250001</v>
      </c>
      <c r="DH44" s="5" t="str">
        <f>IF(AND(LEN(C6)&gt;0,DJ48=DK47),VLOOKUP(DR33,DF36:DI42,3),"")</f>
        <v>（A)</v>
      </c>
      <c r="DI44" s="25" t="str">
        <f>IF(AND(LEN(C6)&gt;0,DJ48=DK47),VLOOKUP(DR33,DF36:DI42,4,FALSE),"")</f>
        <v>48万</v>
      </c>
      <c r="DJ44" s="4"/>
      <c r="DK44" s="4"/>
    </row>
    <row r="45" spans="2:131" ht="12.75" customHeight="1">
      <c r="J45" s="349"/>
      <c r="K45" s="349"/>
      <c r="L45" s="349"/>
      <c r="DC45" s="192">
        <f t="shared" si="9"/>
        <v>1300001</v>
      </c>
      <c r="DD45" s="38" t="str">
        <f t="shared" si="7"/>
        <v>④1300001</v>
      </c>
      <c r="DH45" s="4"/>
      <c r="DI45" s="4"/>
      <c r="DJ45" s="4"/>
      <c r="DL45" s="837" t="str">
        <f>設定!B13</f>
        <v>B２</v>
      </c>
      <c r="DM45" s="838"/>
    </row>
    <row r="46" spans="2:131" ht="12.75" customHeight="1">
      <c r="J46" s="349"/>
      <c r="K46" s="349"/>
      <c r="L46" s="349"/>
      <c r="DC46" s="192">
        <v>1331000</v>
      </c>
      <c r="DD46" s="38" t="str">
        <f t="shared" si="7"/>
        <v>④1331000</v>
      </c>
      <c r="DE46" s="4"/>
      <c r="DF46" s="4"/>
      <c r="DG46" s="584"/>
      <c r="DH46" s="4"/>
      <c r="DI46" s="586"/>
      <c r="DJ46" s="587" t="s">
        <v>463</v>
      </c>
      <c r="DK46" s="48"/>
      <c r="DL46" s="839"/>
      <c r="DM46" s="840"/>
    </row>
    <row r="47" spans="2:131" ht="12.75" customHeight="1">
      <c r="S47" s="130"/>
      <c r="T47" s="130"/>
      <c r="U47" s="130"/>
      <c r="V47" s="130"/>
      <c r="W47" s="130"/>
      <c r="X47" s="130"/>
      <c r="Y47" s="130"/>
      <c r="Z47" s="130"/>
      <c r="AA47" s="130"/>
      <c r="AB47" s="130"/>
      <c r="AC47" s="130"/>
      <c r="AD47" s="130"/>
      <c r="AE47" s="130"/>
      <c r="AF47" s="130"/>
      <c r="AG47" s="130"/>
      <c r="AH47" s="130"/>
      <c r="AI47" s="130"/>
      <c r="AJ47" s="130"/>
      <c r="DE47" s="4"/>
      <c r="DI47" s="152"/>
      <c r="DJ47" s="2" t="s">
        <v>464</v>
      </c>
      <c r="DK47" s="45" t="str">
        <f>設定!C10</f>
        <v>する</v>
      </c>
      <c r="DL47" s="585" t="str">
        <f>設定!I13</f>
        <v>させない</v>
      </c>
      <c r="DM47" s="170" t="str">
        <f>設定!C14</f>
        <v>させる</v>
      </c>
    </row>
    <row r="48" spans="2:131">
      <c r="S48" s="130"/>
      <c r="AJ48" s="130"/>
      <c r="DE48" s="4"/>
      <c r="DI48" s="191"/>
      <c r="DJ48" s="5" t="str">
        <f>設定!I9</f>
        <v>する</v>
      </c>
      <c r="DK48" s="50" t="str">
        <f>設定!C11</f>
        <v>しない</v>
      </c>
      <c r="DL48" s="49"/>
      <c r="DM48" s="171" t="str">
        <f>設定!C15</f>
        <v>させない</v>
      </c>
    </row>
    <row r="49" spans="2:122">
      <c r="S49" s="130"/>
      <c r="AJ49" s="130"/>
      <c r="AZ49" s="122">
        <v>1</v>
      </c>
      <c r="BA49" s="122">
        <v>2</v>
      </c>
      <c r="BB49" s="122">
        <v>3</v>
      </c>
      <c r="BC49" s="122">
        <v>4</v>
      </c>
      <c r="BD49" s="122">
        <v>5</v>
      </c>
      <c r="BE49" s="122">
        <v>6</v>
      </c>
      <c r="BF49" s="122">
        <v>7</v>
      </c>
      <c r="BG49" s="122">
        <v>8</v>
      </c>
      <c r="BH49" s="122">
        <v>9</v>
      </c>
      <c r="BI49" s="122">
        <v>10</v>
      </c>
      <c r="BJ49" s="122">
        <v>11</v>
      </c>
      <c r="BK49" s="122">
        <v>12</v>
      </c>
      <c r="BL49" s="122">
        <v>13</v>
      </c>
      <c r="DM49" s="128" t="s">
        <v>250</v>
      </c>
      <c r="DQ49" s="38">
        <f>O28</f>
        <v>0</v>
      </c>
    </row>
    <row r="50" spans="2:122">
      <c r="S50" s="130"/>
      <c r="AJ50" s="130"/>
      <c r="AM50" s="272"/>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4"/>
      <c r="BT50" s="274"/>
      <c r="BU50" s="274"/>
      <c r="BV50" s="274"/>
      <c r="BW50" s="274"/>
      <c r="BX50" s="274"/>
      <c r="BY50" s="274"/>
      <c r="BZ50" s="274"/>
      <c r="CA50" s="274"/>
      <c r="CB50" s="274"/>
      <c r="CC50" s="274"/>
      <c r="CD50" s="274"/>
      <c r="CE50" s="274"/>
      <c r="CF50" s="274"/>
      <c r="CG50" s="274"/>
      <c r="CH50" s="274"/>
      <c r="CI50" s="274"/>
      <c r="CJ50" s="273"/>
      <c r="CK50" s="273"/>
      <c r="CL50" s="273"/>
      <c r="CM50" s="841"/>
      <c r="CN50" s="841"/>
      <c r="CO50" s="841"/>
      <c r="CP50" s="841"/>
      <c r="CQ50" s="841"/>
      <c r="CR50" s="841"/>
      <c r="CS50" s="841"/>
      <c r="CT50" s="275"/>
      <c r="CU50" s="276"/>
      <c r="DM50" s="3" t="s">
        <v>249</v>
      </c>
      <c r="DQ50" s="38">
        <f>O27</f>
        <v>0</v>
      </c>
    </row>
    <row r="51" spans="2:122" ht="12" customHeight="1">
      <c r="F51" s="5">
        <f>IF(C35=F52,1,0)</f>
        <v>0</v>
      </c>
      <c r="S51" s="130"/>
      <c r="AJ51" s="130"/>
      <c r="AM51" s="277"/>
      <c r="AN51" s="276"/>
      <c r="AO51" s="218"/>
      <c r="AP51" s="218"/>
      <c r="AQ51" s="218"/>
      <c r="AR51" s="218"/>
      <c r="AS51" s="218"/>
      <c r="AT51" s="218"/>
      <c r="AU51" s="218"/>
      <c r="AV51" s="218"/>
      <c r="AW51" s="218"/>
      <c r="AX51" s="218"/>
      <c r="AY51" s="218"/>
      <c r="AZ51" s="218"/>
      <c r="BA51" s="323"/>
      <c r="BB51" s="323"/>
      <c r="BC51" s="323"/>
      <c r="BD51" s="323"/>
      <c r="BE51" s="323"/>
      <c r="BF51" s="323"/>
      <c r="BG51" s="323"/>
      <c r="BH51" s="323"/>
      <c r="BI51" s="323"/>
      <c r="BJ51" s="323"/>
      <c r="BK51" s="323"/>
      <c r="BL51" s="323"/>
      <c r="BM51" s="279"/>
      <c r="BN51" s="280"/>
      <c r="BO51" s="280"/>
      <c r="BP51" s="280"/>
      <c r="BQ51" s="276"/>
      <c r="BR51" s="276"/>
      <c r="BS51" s="276"/>
      <c r="BT51" s="276"/>
      <c r="BU51" s="276"/>
      <c r="BV51" s="276"/>
      <c r="BW51" s="276"/>
      <c r="BX51" s="276"/>
      <c r="BY51" s="276"/>
      <c r="BZ51" s="276"/>
      <c r="CA51" s="276"/>
      <c r="CB51" s="276"/>
      <c r="CC51" s="276"/>
      <c r="CD51" s="276"/>
      <c r="CE51" s="276"/>
      <c r="CF51" s="276"/>
      <c r="CG51" s="276"/>
      <c r="CH51" s="276"/>
      <c r="CI51" s="276"/>
      <c r="CJ51" s="281"/>
      <c r="CK51" s="276"/>
      <c r="CL51" s="276"/>
      <c r="CM51" s="276"/>
      <c r="CN51" s="809" t="str">
        <f>IF(H56="","","整理番号"&amp;H56)</f>
        <v/>
      </c>
      <c r="CO51" s="809"/>
      <c r="CP51" s="809"/>
      <c r="CQ51" s="809"/>
      <c r="CR51" s="809"/>
      <c r="CS51" s="809"/>
      <c r="CT51" s="282"/>
      <c r="CU51" s="276"/>
      <c r="DD51" s="5">
        <f>IF(DI51="該当",1,0)</f>
        <v>1</v>
      </c>
      <c r="DH51" s="7" t="str">
        <f t="shared" ref="DH51:DI54" si="10">N12</f>
        <v>申告者が特別障害者</v>
      </c>
      <c r="DI51" s="2" t="str">
        <f t="shared" si="10"/>
        <v>該当</v>
      </c>
      <c r="DJ51" s="158" t="str">
        <f>IF($M$73=$M$71,IF(DI51=$M$71,$DE$25,""),"")</f>
        <v>レ</v>
      </c>
      <c r="DM51" t="str">
        <f>O37</f>
        <v>記載あり</v>
      </c>
      <c r="DQ51" s="38" t="str">
        <f>IF(AND(設定!I22=設定!C24,設定!I24=設定!E25),設定!G25,O29)</f>
        <v>※※※※※※※※※※※※</v>
      </c>
    </row>
    <row r="52" spans="2:122" ht="15.75" customHeight="1">
      <c r="B52" t="s">
        <v>188</v>
      </c>
      <c r="F52" s="648" t="s">
        <v>367</v>
      </c>
      <c r="G52" s="650"/>
      <c r="S52" s="130"/>
      <c r="AJ52" s="130"/>
      <c r="AM52" s="277"/>
      <c r="AN52" s="276"/>
      <c r="AO52" s="324"/>
      <c r="AP52" s="353"/>
      <c r="AQ52" s="353"/>
      <c r="AR52" s="353"/>
      <c r="AS52" s="353"/>
      <c r="AT52" s="324"/>
      <c r="AU52" s="324"/>
      <c r="AV52" s="324"/>
      <c r="AW52" s="324"/>
      <c r="AX52" s="324"/>
      <c r="AY52" s="324"/>
      <c r="AZ52" s="810" t="str">
        <f>" "&amp;TEXT(O2,"＃")</f>
        <v xml:space="preserve"> 給与の支払い者おおおお</v>
      </c>
      <c r="BA52" s="810"/>
      <c r="BB52" s="810"/>
      <c r="BC52" s="810"/>
      <c r="BD52" s="810"/>
      <c r="BE52" s="810"/>
      <c r="BF52" s="810"/>
      <c r="BG52" s="810"/>
      <c r="BH52" s="810"/>
      <c r="BI52" s="810"/>
      <c r="BJ52" s="810"/>
      <c r="BK52" s="810"/>
      <c r="BL52" s="810"/>
      <c r="BM52" s="276"/>
      <c r="BN52" s="276"/>
      <c r="BO52" s="276"/>
      <c r="BP52" s="276"/>
      <c r="BQ52" s="276"/>
      <c r="BR52" s="811" t="str">
        <f>G6</f>
        <v>アアアアアイチ</v>
      </c>
      <c r="BS52" s="811"/>
      <c r="BT52" s="811"/>
      <c r="BU52" s="811"/>
      <c r="BV52" s="811"/>
      <c r="BW52" s="811"/>
      <c r="BX52" s="811"/>
      <c r="BY52" s="811"/>
      <c r="BZ52" s="811"/>
      <c r="CA52" s="811"/>
      <c r="CB52" s="811"/>
      <c r="CC52" s="811"/>
      <c r="CD52" s="811"/>
      <c r="CE52" s="811"/>
      <c r="CF52" s="811"/>
      <c r="CG52" s="811"/>
      <c r="CH52" s="811"/>
      <c r="CI52" s="811"/>
      <c r="CJ52" s="281"/>
      <c r="CK52" s="283"/>
      <c r="CL52" s="283"/>
      <c r="CM52" s="283"/>
      <c r="CN52" s="809"/>
      <c r="CO52" s="809"/>
      <c r="CP52" s="809"/>
      <c r="CQ52" s="809"/>
      <c r="CR52" s="809"/>
      <c r="CS52" s="809"/>
      <c r="CT52" s="282"/>
      <c r="CU52" s="276"/>
      <c r="DD52" s="5">
        <f>IF(DI52="該当",1,0)</f>
        <v>0</v>
      </c>
      <c r="DH52" s="7" t="str">
        <f t="shared" si="10"/>
        <v>２３歳未満の扶養親族あり</v>
      </c>
      <c r="DI52" s="2" t="str">
        <f t="shared" si="10"/>
        <v>非該当</v>
      </c>
      <c r="DJ52" s="158" t="str">
        <f>IF($M$73=$M$71,IF(DI52=$M$71,$DE$25,""),"")</f>
        <v/>
      </c>
      <c r="DM52" s="5" t="str">
        <f>IF(DM51=DM49,DE25,"")</f>
        <v>レ</v>
      </c>
      <c r="DN52" t="s">
        <v>364</v>
      </c>
      <c r="DQ52" s="209">
        <f>O30</f>
        <v>0</v>
      </c>
      <c r="DR52" s="5">
        <f>DATEDIF(DQ52,C57+1,"Y")</f>
        <v>125</v>
      </c>
    </row>
    <row r="53" spans="2:122" ht="10.5" customHeight="1">
      <c r="B53" s="5" t="str">
        <f>設定!I22</f>
        <v>させない</v>
      </c>
      <c r="F53" s="648" t="s">
        <v>378</v>
      </c>
      <c r="G53" s="650"/>
      <c r="J53" s="7" t="s">
        <v>296</v>
      </c>
      <c r="K53" s="2" t="str">
        <f>L25</f>
        <v>有</v>
      </c>
      <c r="S53" s="130"/>
      <c r="AJ53" s="130"/>
      <c r="AM53" s="277"/>
      <c r="AN53" s="276"/>
      <c r="AO53" s="812" t="str">
        <f>K1</f>
        <v>ああああ</v>
      </c>
      <c r="AP53" s="812"/>
      <c r="AQ53" s="812"/>
      <c r="AR53" s="812"/>
      <c r="AS53" s="353"/>
      <c r="AT53" s="324"/>
      <c r="AU53" s="324"/>
      <c r="AV53" s="324"/>
      <c r="AW53" s="324"/>
      <c r="AX53" s="324"/>
      <c r="AY53" s="324"/>
      <c r="AZ53" s="813" t="str">
        <f t="shared" ref="AZ53:BL53" si="11">IF($K2*1=0,"",MID($K2,AZ49,1))</f>
        <v>1</v>
      </c>
      <c r="BA53" s="813" t="str">
        <f t="shared" si="11"/>
        <v>2</v>
      </c>
      <c r="BB53" s="813" t="str">
        <f t="shared" si="11"/>
        <v>3</v>
      </c>
      <c r="BC53" s="813" t="str">
        <f t="shared" si="11"/>
        <v>4</v>
      </c>
      <c r="BD53" s="813" t="str">
        <f t="shared" si="11"/>
        <v>5</v>
      </c>
      <c r="BE53" s="813" t="str">
        <f t="shared" si="11"/>
        <v>6</v>
      </c>
      <c r="BF53" s="813" t="str">
        <f t="shared" si="11"/>
        <v>7</v>
      </c>
      <c r="BG53" s="813" t="str">
        <f t="shared" si="11"/>
        <v>8</v>
      </c>
      <c r="BH53" s="813" t="str">
        <f t="shared" si="11"/>
        <v>9</v>
      </c>
      <c r="BI53" s="813" t="str">
        <f t="shared" si="11"/>
        <v>1</v>
      </c>
      <c r="BJ53" s="813" t="str">
        <f t="shared" si="11"/>
        <v>2</v>
      </c>
      <c r="BK53" s="813" t="str">
        <f t="shared" si="11"/>
        <v>3</v>
      </c>
      <c r="BL53" s="813" t="str">
        <f t="shared" si="11"/>
        <v>4</v>
      </c>
      <c r="BM53" s="279"/>
      <c r="BN53" s="280"/>
      <c r="BO53" s="280"/>
      <c r="BP53" s="280"/>
      <c r="BQ53" s="276"/>
      <c r="BR53" s="814" t="str">
        <f>C6</f>
        <v>あああ１</v>
      </c>
      <c r="BS53" s="814"/>
      <c r="BT53" s="814"/>
      <c r="BU53" s="814"/>
      <c r="BV53" s="814"/>
      <c r="BW53" s="814"/>
      <c r="BX53" s="814"/>
      <c r="BY53" s="814"/>
      <c r="BZ53" s="814"/>
      <c r="CA53" s="814"/>
      <c r="CB53" s="814"/>
      <c r="CC53" s="814"/>
      <c r="CD53" s="814"/>
      <c r="CE53" s="814"/>
      <c r="CF53" s="814"/>
      <c r="CG53" s="814"/>
      <c r="CH53" s="814"/>
      <c r="CI53" s="814"/>
      <c r="CJ53" s="284"/>
      <c r="CK53" s="284"/>
      <c r="CL53" s="284"/>
      <c r="CM53" s="284"/>
      <c r="CN53" s="276"/>
      <c r="CO53" s="276"/>
      <c r="CP53" s="276"/>
      <c r="CQ53" s="276"/>
      <c r="CR53" s="276"/>
      <c r="CS53" s="276"/>
      <c r="CT53" s="282"/>
      <c r="CU53" s="276"/>
      <c r="DD53" s="5">
        <f t="shared" ref="DD53:DD54" si="12">IF(DI53="該当",1,0)</f>
        <v>0</v>
      </c>
      <c r="DH53" s="7" t="str">
        <f t="shared" si="10"/>
        <v>同一生計配偶者が特別障害者</v>
      </c>
      <c r="DI53" s="2" t="str">
        <f t="shared" si="10"/>
        <v>非該当</v>
      </c>
      <c r="DJ53" s="158" t="str">
        <f>IF($M$73=$M$71,IF(DI53=$M$71,$DE$25,""),"")</f>
        <v/>
      </c>
      <c r="DQ53" s="206" t="str">
        <f>"　"&amp;O34</f>
        <v>　0</v>
      </c>
    </row>
    <row r="54" spans="2:122" ht="10.5" customHeight="1">
      <c r="B54" s="5" t="str">
        <f>設定!C23</f>
        <v>させる</v>
      </c>
      <c r="J54" s="5" t="s">
        <v>341</v>
      </c>
      <c r="K54" s="5" t="s">
        <v>322</v>
      </c>
      <c r="M54" t="s">
        <v>231</v>
      </c>
      <c r="S54" s="130"/>
      <c r="AJ54" s="130"/>
      <c r="AM54" s="277"/>
      <c r="AN54" s="276"/>
      <c r="AO54" s="812"/>
      <c r="AP54" s="812"/>
      <c r="AQ54" s="812"/>
      <c r="AR54" s="812"/>
      <c r="AS54" s="353"/>
      <c r="AT54" s="324"/>
      <c r="AU54" s="324"/>
      <c r="AV54" s="324"/>
      <c r="AW54" s="324"/>
      <c r="AX54" s="324"/>
      <c r="AY54" s="324"/>
      <c r="AZ54" s="813"/>
      <c r="BA54" s="813"/>
      <c r="BB54" s="813"/>
      <c r="BC54" s="813"/>
      <c r="BD54" s="813"/>
      <c r="BE54" s="813"/>
      <c r="BF54" s="813"/>
      <c r="BG54" s="813"/>
      <c r="BH54" s="813"/>
      <c r="BI54" s="813"/>
      <c r="BJ54" s="813"/>
      <c r="BK54" s="813"/>
      <c r="BL54" s="813"/>
      <c r="BM54" s="285"/>
      <c r="BN54" s="280"/>
      <c r="BO54" s="280"/>
      <c r="BP54" s="280"/>
      <c r="BQ54" s="276"/>
      <c r="BR54" s="814"/>
      <c r="BS54" s="814"/>
      <c r="BT54" s="814"/>
      <c r="BU54" s="814"/>
      <c r="BV54" s="814"/>
      <c r="BW54" s="814"/>
      <c r="BX54" s="814"/>
      <c r="BY54" s="814"/>
      <c r="BZ54" s="814"/>
      <c r="CA54" s="814"/>
      <c r="CB54" s="814"/>
      <c r="CC54" s="814"/>
      <c r="CD54" s="814"/>
      <c r="CE54" s="814"/>
      <c r="CF54" s="814"/>
      <c r="CG54" s="814"/>
      <c r="CH54" s="814"/>
      <c r="CI54" s="814"/>
      <c r="CJ54" s="284"/>
      <c r="CK54" s="284"/>
      <c r="CL54" s="284"/>
      <c r="CM54" s="284"/>
      <c r="CN54" s="276"/>
      <c r="CO54" s="276"/>
      <c r="CP54" s="276"/>
      <c r="CQ54" s="276"/>
      <c r="CR54" s="276"/>
      <c r="CS54" s="276"/>
      <c r="CT54" s="282"/>
      <c r="CU54" s="276"/>
      <c r="DD54" s="5">
        <f t="shared" si="12"/>
        <v>0</v>
      </c>
      <c r="DH54" s="7" t="str">
        <f t="shared" si="10"/>
        <v>扶養親族に特別障害者あり</v>
      </c>
      <c r="DI54" s="2" t="str">
        <f t="shared" si="10"/>
        <v>非該当</v>
      </c>
      <c r="DJ54" s="158" t="str">
        <f>IF($M$73=$M$71,IF(DI54=$M$71,$DE$25,""),"")</f>
        <v/>
      </c>
      <c r="DM54" s="3" t="str">
        <f>IF(LEN(N41)&gt;1,N41,"")</f>
        <v/>
      </c>
      <c r="DQ54" s="127">
        <f>O31</f>
        <v>0</v>
      </c>
    </row>
    <row r="55" spans="2:122" ht="24.75" customHeight="1">
      <c r="B55" s="2" t="str">
        <f>設定!C24</f>
        <v>させない</v>
      </c>
      <c r="J55" s="165" t="s">
        <v>260</v>
      </c>
      <c r="K55" s="166">
        <f>IF(L25=K54,0,EA19)</f>
        <v>562346</v>
      </c>
      <c r="M55" s="38" t="s">
        <v>125</v>
      </c>
      <c r="S55" s="130"/>
      <c r="AJ55" s="130"/>
      <c r="AM55" s="277"/>
      <c r="AN55" s="276"/>
      <c r="AO55" s="325"/>
      <c r="AP55" s="325"/>
      <c r="AQ55" s="325"/>
      <c r="AR55" s="325"/>
      <c r="AS55" s="353"/>
      <c r="AT55" s="324"/>
      <c r="AU55" s="324"/>
      <c r="AV55" s="324"/>
      <c r="AW55" s="324"/>
      <c r="AX55" s="324"/>
      <c r="AY55" s="324"/>
      <c r="AZ55" s="857" t="str">
        <f>" "&amp;TEXT(O1,"＃")</f>
        <v xml:space="preserve"> 千葉市中央区あああああ１１１１－１１１１１１</v>
      </c>
      <c r="BA55" s="857"/>
      <c r="BB55" s="857"/>
      <c r="BC55" s="857"/>
      <c r="BD55" s="857"/>
      <c r="BE55" s="857"/>
      <c r="BF55" s="857"/>
      <c r="BG55" s="857"/>
      <c r="BH55" s="857"/>
      <c r="BI55" s="857"/>
      <c r="BJ55" s="857"/>
      <c r="BK55" s="857"/>
      <c r="BL55" s="857"/>
      <c r="BM55" s="279"/>
      <c r="BN55" s="280"/>
      <c r="BO55" s="280"/>
      <c r="BP55" s="280"/>
      <c r="BQ55" s="276"/>
      <c r="BR55" s="858" t="str">
        <f>C9</f>
        <v>柏市おおおおお町１１１－９９９９　おおおおお荘２２２号</v>
      </c>
      <c r="BS55" s="858"/>
      <c r="BT55" s="858"/>
      <c r="BU55" s="858"/>
      <c r="BV55" s="858"/>
      <c r="BW55" s="858"/>
      <c r="BX55" s="858"/>
      <c r="BY55" s="858"/>
      <c r="BZ55" s="858"/>
      <c r="CA55" s="858"/>
      <c r="CB55" s="858"/>
      <c r="CC55" s="858"/>
      <c r="CD55" s="858"/>
      <c r="CE55" s="858"/>
      <c r="CF55" s="858"/>
      <c r="CG55" s="858"/>
      <c r="CH55" s="858"/>
      <c r="CI55" s="858"/>
      <c r="CJ55" s="286"/>
      <c r="CK55" s="287"/>
      <c r="CL55" s="287"/>
      <c r="CM55" s="287"/>
      <c r="CN55" s="276"/>
      <c r="CO55" s="276"/>
      <c r="CP55" s="276"/>
      <c r="CQ55" s="276"/>
      <c r="CR55" s="276"/>
      <c r="CS55" s="276"/>
      <c r="CT55" s="282"/>
      <c r="CU55" s="276"/>
      <c r="DD55" s="2">
        <f>SUM(DD51:DD54)</f>
        <v>1</v>
      </c>
      <c r="DJ55" s="2"/>
      <c r="DQ55" s="384">
        <f>IF(LEN(O32)=0,"",O32)</f>
        <v>0</v>
      </c>
    </row>
    <row r="56" spans="2:122" ht="12.75" customHeight="1">
      <c r="G56" s="25" t="s">
        <v>135</v>
      </c>
      <c r="H56" s="25" t="str">
        <f>設定!O1</f>
        <v/>
      </c>
      <c r="J56" s="126" t="s">
        <v>196</v>
      </c>
      <c r="K56" s="181">
        <f>IF(L25=K54,0,EL28)</f>
        <v>0</v>
      </c>
      <c r="M56" s="38" t="s">
        <v>126</v>
      </c>
      <c r="S56" s="130"/>
      <c r="AJ56" s="130"/>
      <c r="AM56" s="277"/>
      <c r="AN56" s="276"/>
      <c r="AO56" s="276"/>
      <c r="AP56" s="276"/>
      <c r="AQ56" s="276"/>
      <c r="AR56" s="276"/>
      <c r="AS56" s="280"/>
      <c r="AT56" s="276"/>
      <c r="AU56" s="276"/>
      <c r="AV56" s="276"/>
      <c r="AW56" s="276"/>
      <c r="AX56" s="276"/>
      <c r="AY56" s="276"/>
      <c r="AZ56" s="287"/>
      <c r="BA56" s="287"/>
      <c r="BB56" s="287"/>
      <c r="BC56" s="287"/>
      <c r="BD56" s="287"/>
      <c r="BE56" s="287"/>
      <c r="BF56" s="287"/>
      <c r="BG56" s="287"/>
      <c r="BH56" s="287"/>
      <c r="BI56" s="287"/>
      <c r="BJ56" s="287"/>
      <c r="BK56" s="287"/>
      <c r="BL56" s="287"/>
      <c r="BM56" s="276"/>
      <c r="BN56" s="276"/>
      <c r="BO56" s="276"/>
      <c r="BP56" s="276"/>
      <c r="BQ56" s="276"/>
      <c r="BR56" s="278"/>
      <c r="BS56" s="278"/>
      <c r="BT56" s="278"/>
      <c r="BU56" s="278"/>
      <c r="BV56" s="278"/>
      <c r="BW56" s="278"/>
      <c r="BX56" s="278"/>
      <c r="BY56" s="278"/>
      <c r="BZ56" s="278"/>
      <c r="CA56" s="278"/>
      <c r="CB56" s="278"/>
      <c r="CC56" s="278"/>
      <c r="CD56" s="278"/>
      <c r="CE56" s="278"/>
      <c r="CF56" s="278"/>
      <c r="CG56" s="278"/>
      <c r="CH56" s="278"/>
      <c r="CI56" s="278"/>
      <c r="CJ56" s="278"/>
      <c r="CK56" s="278"/>
      <c r="CL56" s="278"/>
      <c r="CM56" s="278"/>
      <c r="CN56" s="276"/>
      <c r="CO56" s="276"/>
      <c r="CP56" s="276"/>
      <c r="CQ56" s="276"/>
      <c r="CR56" s="276"/>
      <c r="CS56" s="276"/>
      <c r="CT56" s="282"/>
      <c r="CU56" s="276"/>
    </row>
    <row r="57" spans="2:122" ht="13.5" customHeight="1">
      <c r="B57" s="17" t="s">
        <v>226</v>
      </c>
      <c r="C57" s="182">
        <f>設定!D1</f>
        <v>45657</v>
      </c>
      <c r="J57" s="167" t="s">
        <v>206</v>
      </c>
      <c r="K57" s="168">
        <f>IF(L25=K54,0,SUM(K32:K33))</f>
        <v>33333</v>
      </c>
      <c r="M57" s="4" t="str">
        <f>K7</f>
        <v>該当</v>
      </c>
      <c r="S57" s="130"/>
      <c r="AJ57" s="130"/>
      <c r="AM57" s="288"/>
      <c r="AN57" s="289"/>
      <c r="AO57" s="276"/>
      <c r="AP57" s="276"/>
      <c r="AQ57" s="276"/>
      <c r="AR57" s="276"/>
      <c r="AS57" s="289"/>
      <c r="AT57" s="289"/>
      <c r="AU57" s="289"/>
      <c r="AV57" s="289"/>
      <c r="AW57" s="289"/>
      <c r="AX57" s="289"/>
      <c r="AY57" s="289"/>
      <c r="AZ57" s="289"/>
      <c r="BA57" s="289"/>
      <c r="BB57" s="289"/>
      <c r="BC57" s="289"/>
      <c r="BD57" s="289"/>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82"/>
      <c r="CU57" s="276"/>
    </row>
    <row r="58" spans="2:122" ht="13.5" customHeight="1">
      <c r="J58" s="421" t="s">
        <v>197</v>
      </c>
      <c r="K58" s="168">
        <f>SUM(K55:K57)</f>
        <v>595679</v>
      </c>
      <c r="M58" s="4"/>
      <c r="S58" s="130"/>
      <c r="AJ58" s="130"/>
      <c r="AM58" s="290"/>
      <c r="AN58" s="291"/>
      <c r="AO58" s="291"/>
      <c r="AP58" s="291"/>
      <c r="AQ58" s="291"/>
      <c r="AR58" s="291"/>
      <c r="AS58" s="291"/>
      <c r="AT58" s="291"/>
      <c r="AU58" s="291"/>
      <c r="AV58" s="291"/>
      <c r="AW58" s="291"/>
      <c r="AX58" s="291"/>
      <c r="AY58" s="291"/>
      <c r="AZ58" s="291"/>
      <c r="BA58" s="291"/>
      <c r="BB58" s="291"/>
      <c r="BC58" s="291"/>
      <c r="BD58" s="291"/>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82"/>
      <c r="CU58" s="276"/>
    </row>
    <row r="59" spans="2:122" ht="22.5" customHeight="1">
      <c r="B59" t="str">
        <f>設定!B13</f>
        <v>B２</v>
      </c>
      <c r="G59" s="150" t="s">
        <v>261</v>
      </c>
      <c r="H59" s="166">
        <f>MAX(SUM(EA3:EA5),0)</f>
        <v>684567</v>
      </c>
      <c r="M59" s="38" t="s">
        <v>122</v>
      </c>
      <c r="S59" s="130"/>
      <c r="AJ59" s="130"/>
      <c r="AM59" s="277"/>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445">
        <f>IF(K15&gt;1,M68,"")</f>
        <v>55</v>
      </c>
      <c r="CT59" s="282"/>
      <c r="CU59" s="276"/>
    </row>
    <row r="60" spans="2:122" ht="10.5" customHeight="1">
      <c r="B60" s="5" t="str">
        <f>設定!I13</f>
        <v>させない</v>
      </c>
      <c r="G60" s="131" t="s">
        <v>196</v>
      </c>
      <c r="H60" s="180">
        <f>EF28</f>
        <v>1484258</v>
      </c>
      <c r="M60" s="38" t="s">
        <v>121</v>
      </c>
      <c r="S60" s="130"/>
      <c r="AJ60" s="130"/>
      <c r="AM60" s="277"/>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92"/>
      <c r="BO60" s="292"/>
      <c r="BP60" s="292"/>
      <c r="BQ60" s="292"/>
      <c r="BR60" s="292"/>
      <c r="BS60" s="292"/>
      <c r="BT60" s="292"/>
      <c r="BU60" s="292"/>
      <c r="BV60" s="292"/>
      <c r="BW60" s="828" t="str">
        <f t="shared" ref="BW60:CH60" si="13">IFERROR(IF($M$57=$M$56,IF($DC28*1=0,"",MID($DC28,AZ49,1)),""),MID($DC28,AZ49,1))</f>
        <v>※</v>
      </c>
      <c r="BX60" s="828" t="str">
        <f t="shared" si="13"/>
        <v>※</v>
      </c>
      <c r="BY60" s="828" t="str">
        <f t="shared" si="13"/>
        <v>※</v>
      </c>
      <c r="BZ60" s="828" t="str">
        <f t="shared" si="13"/>
        <v>※</v>
      </c>
      <c r="CA60" s="828" t="str">
        <f t="shared" si="13"/>
        <v>※</v>
      </c>
      <c r="CB60" s="828" t="str">
        <f t="shared" si="13"/>
        <v>※</v>
      </c>
      <c r="CC60" s="828" t="str">
        <f t="shared" si="13"/>
        <v>※</v>
      </c>
      <c r="CD60" s="828" t="str">
        <f t="shared" si="13"/>
        <v>※</v>
      </c>
      <c r="CE60" s="828" t="str">
        <f t="shared" si="13"/>
        <v>※</v>
      </c>
      <c r="CF60" s="828" t="str">
        <f t="shared" si="13"/>
        <v>※</v>
      </c>
      <c r="CG60" s="828" t="str">
        <f t="shared" si="13"/>
        <v>※</v>
      </c>
      <c r="CH60" s="828" t="str">
        <f t="shared" si="13"/>
        <v>※</v>
      </c>
      <c r="CI60" s="833" t="str">
        <f>IF($M$57=$M$56,IF(DC29=0,"",TEXT(DC29," ｇｇｇ   　  e          m         d")),"")</f>
        <v xml:space="preserve"> 昭和      44          5         6</v>
      </c>
      <c r="CJ60" s="833"/>
      <c r="CK60" s="833"/>
      <c r="CL60" s="833"/>
      <c r="CM60" s="833"/>
      <c r="CN60" s="833"/>
      <c r="CO60" s="833"/>
      <c r="CP60" s="833"/>
      <c r="CQ60" s="833"/>
      <c r="CR60" s="833"/>
      <c r="CS60" s="293"/>
      <c r="CT60" s="282"/>
      <c r="CU60" s="276"/>
    </row>
    <row r="61" spans="2:122" ht="9.75" customHeight="1">
      <c r="B61" s="5" t="str">
        <f>設定!C14</f>
        <v>させる</v>
      </c>
      <c r="G61" s="151" t="s">
        <v>206</v>
      </c>
      <c r="H61" s="168">
        <f>G30+G27</f>
        <v>1469134</v>
      </c>
      <c r="M61" s="4"/>
      <c r="S61" s="130"/>
      <c r="AJ61" s="130"/>
      <c r="AM61" s="277"/>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94"/>
      <c r="BO61" s="294"/>
      <c r="BP61" s="294"/>
      <c r="BQ61" s="294"/>
      <c r="BR61" s="294"/>
      <c r="BS61" s="294"/>
      <c r="BT61" s="294"/>
      <c r="BU61" s="294"/>
      <c r="BV61" s="294"/>
      <c r="BW61" s="828"/>
      <c r="BX61" s="828"/>
      <c r="BY61" s="828"/>
      <c r="BZ61" s="828"/>
      <c r="CA61" s="828"/>
      <c r="CB61" s="828"/>
      <c r="CC61" s="828"/>
      <c r="CD61" s="828"/>
      <c r="CE61" s="828"/>
      <c r="CF61" s="828"/>
      <c r="CG61" s="828"/>
      <c r="CH61" s="828"/>
      <c r="CI61" s="833"/>
      <c r="CJ61" s="833"/>
      <c r="CK61" s="833"/>
      <c r="CL61" s="833"/>
      <c r="CM61" s="833"/>
      <c r="CN61" s="833"/>
      <c r="CO61" s="833"/>
      <c r="CP61" s="833"/>
      <c r="CQ61" s="833"/>
      <c r="CR61" s="833"/>
      <c r="CS61" s="293"/>
      <c r="CT61" s="282"/>
      <c r="CU61" s="276"/>
    </row>
    <row r="62" spans="2:122" ht="12.75" customHeight="1">
      <c r="B62" s="2" t="str">
        <f>設定!C15</f>
        <v>させない</v>
      </c>
      <c r="G62" s="32" t="s">
        <v>197</v>
      </c>
      <c r="H62" s="168">
        <f>SUM(H59:H61)</f>
        <v>3637959</v>
      </c>
      <c r="M62" s="27" t="s">
        <v>245</v>
      </c>
      <c r="S62" s="130"/>
      <c r="AJ62" s="130"/>
      <c r="AM62" s="277"/>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834" t="str">
        <f>IF(M57=M56,K13,"")</f>
        <v>イイイイイイイ１</v>
      </c>
      <c r="BM62" s="834"/>
      <c r="BN62" s="834"/>
      <c r="BO62" s="834"/>
      <c r="BP62" s="834"/>
      <c r="BQ62" s="834"/>
      <c r="BR62" s="834"/>
      <c r="BS62" s="834"/>
      <c r="BT62" s="834"/>
      <c r="BU62" s="834"/>
      <c r="BV62" s="834"/>
      <c r="BW62" s="276"/>
      <c r="BX62" s="287"/>
      <c r="BY62" s="287"/>
      <c r="BZ62" s="287"/>
      <c r="CA62" s="287"/>
      <c r="CB62" s="287"/>
      <c r="CC62" s="287"/>
      <c r="CD62" s="287"/>
      <c r="CE62" s="287"/>
      <c r="CF62" s="287"/>
      <c r="CG62" s="287"/>
      <c r="CH62" s="287"/>
      <c r="CI62" s="295"/>
      <c r="CJ62" s="295"/>
      <c r="CK62" s="295"/>
      <c r="CL62" s="295"/>
      <c r="CM62" s="295"/>
      <c r="CN62" s="295"/>
      <c r="CO62" s="295"/>
      <c r="CP62" s="295"/>
      <c r="CQ62" s="295"/>
      <c r="CR62" s="276"/>
      <c r="CS62" s="276"/>
      <c r="CT62" s="282"/>
      <c r="CU62" s="276"/>
    </row>
    <row r="63" spans="2:122" ht="7.5" customHeight="1">
      <c r="M63" s="38" t="s">
        <v>141</v>
      </c>
      <c r="S63" s="130"/>
      <c r="AJ63" s="130"/>
      <c r="AM63" s="277"/>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835" t="str">
        <f>IF(M57=M56,K14,"")</f>
        <v>五五イ伊</v>
      </c>
      <c r="BM63" s="835"/>
      <c r="BN63" s="835"/>
      <c r="BO63" s="835"/>
      <c r="BP63" s="835"/>
      <c r="BQ63" s="835"/>
      <c r="BR63" s="835"/>
      <c r="BS63" s="835"/>
      <c r="BT63" s="835"/>
      <c r="BU63" s="835"/>
      <c r="BV63" s="835"/>
      <c r="BW63" s="836" t="str">
        <f>IF(M57=M56,K17,"")</f>
        <v>いろは市ううう町１１１－５５５</v>
      </c>
      <c r="BX63" s="836"/>
      <c r="BY63" s="836"/>
      <c r="BZ63" s="836"/>
      <c r="CA63" s="836"/>
      <c r="CB63" s="836"/>
      <c r="CC63" s="836"/>
      <c r="CD63" s="836"/>
      <c r="CE63" s="836"/>
      <c r="CF63" s="836"/>
      <c r="CG63" s="836"/>
      <c r="CH63" s="836"/>
      <c r="CI63" s="276"/>
      <c r="CJ63" s="276"/>
      <c r="CK63" s="276"/>
      <c r="CL63" s="276"/>
      <c r="CM63" s="276"/>
      <c r="CN63" s="276"/>
      <c r="CO63" s="276"/>
      <c r="CP63" s="276"/>
      <c r="CQ63" s="276"/>
      <c r="CR63" s="276"/>
      <c r="CS63" s="276"/>
      <c r="CT63" s="282"/>
      <c r="CU63" s="276"/>
    </row>
    <row r="64" spans="2:122" ht="15" customHeight="1">
      <c r="B64" t="s">
        <v>262</v>
      </c>
      <c r="D64" s="351">
        <f>設定!D1-5</f>
        <v>45652</v>
      </c>
      <c r="M64" s="38" t="s">
        <v>142</v>
      </c>
      <c r="S64" s="130"/>
      <c r="AJ64" s="130"/>
      <c r="AM64" s="277"/>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835"/>
      <c r="BM64" s="835"/>
      <c r="BN64" s="835"/>
      <c r="BO64" s="835"/>
      <c r="BP64" s="835"/>
      <c r="BQ64" s="835"/>
      <c r="BR64" s="835"/>
      <c r="BS64" s="835"/>
      <c r="BT64" s="835"/>
      <c r="BU64" s="835"/>
      <c r="BV64" s="835"/>
      <c r="BW64" s="836"/>
      <c r="BX64" s="836"/>
      <c r="BY64" s="836"/>
      <c r="BZ64" s="836"/>
      <c r="CA64" s="836"/>
      <c r="CB64" s="836"/>
      <c r="CC64" s="836"/>
      <c r="CD64" s="836"/>
      <c r="CE64" s="836"/>
      <c r="CF64" s="836"/>
      <c r="CG64" s="836"/>
      <c r="CH64" s="836"/>
      <c r="CI64" s="276"/>
      <c r="CJ64" s="276"/>
      <c r="CK64" s="276"/>
      <c r="CL64" s="276"/>
      <c r="CM64" s="276"/>
      <c r="CN64" s="276"/>
      <c r="CO64" s="276"/>
      <c r="CP64" s="276"/>
      <c r="CQ64" s="276"/>
      <c r="CR64" s="276"/>
      <c r="CS64" s="276"/>
      <c r="CT64" s="282"/>
      <c r="CU64" s="276"/>
    </row>
    <row r="65" spans="2:105" ht="10.5" customHeight="1">
      <c r="B65" s="654" t="str">
        <f>設定!B19</f>
        <v>１月になり、源泉徴収票が交付されたら、こちらに現在の勤務先での給料支払額を入力して申告書を完成させて再度提出してください。１１月の段階では入力不要です。</v>
      </c>
      <c r="C65" s="655"/>
      <c r="D65" s="656"/>
      <c r="M65" s="125" t="str">
        <f>O37</f>
        <v>記載あり</v>
      </c>
      <c r="S65" s="130"/>
      <c r="AJ65" s="130"/>
      <c r="AM65" s="277"/>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276"/>
      <c r="CD65" s="276"/>
      <c r="CE65" s="276"/>
      <c r="CF65" s="276"/>
      <c r="CG65" s="276"/>
      <c r="CH65" s="276"/>
      <c r="CI65" s="276"/>
      <c r="CJ65" s="276"/>
      <c r="CK65" s="276"/>
      <c r="CL65" s="276"/>
      <c r="CM65" s="276"/>
      <c r="CN65" s="276"/>
      <c r="CO65" s="276"/>
      <c r="CP65" s="276"/>
      <c r="CQ65" s="276"/>
      <c r="CR65" s="276"/>
      <c r="CS65" s="276"/>
      <c r="CT65" s="282"/>
      <c r="CU65" s="276"/>
    </row>
    <row r="66" spans="2:105" ht="10.5" customHeight="1">
      <c r="B66" s="669"/>
      <c r="C66" s="670"/>
      <c r="D66" s="671"/>
      <c r="S66" s="130"/>
      <c r="AJ66" s="130"/>
      <c r="AM66" s="277"/>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76"/>
      <c r="BU66" s="276"/>
      <c r="BV66" s="276"/>
      <c r="BW66" s="276"/>
      <c r="BX66" s="276"/>
      <c r="BY66" s="276"/>
      <c r="BZ66" s="276"/>
      <c r="CA66" s="276"/>
      <c r="CB66" s="276"/>
      <c r="CC66" s="276"/>
      <c r="CD66" s="276"/>
      <c r="CE66" s="276"/>
      <c r="CF66" s="276"/>
      <c r="CG66" s="276"/>
      <c r="CH66" s="824" t="str">
        <f>CZ67</f>
        <v/>
      </c>
      <c r="CI66" s="824"/>
      <c r="CJ66" s="276"/>
      <c r="CK66" s="276"/>
      <c r="CL66" s="276"/>
      <c r="CM66" s="276"/>
      <c r="CN66" s="276"/>
      <c r="CO66" s="276"/>
      <c r="CP66" s="276"/>
      <c r="CQ66" s="276"/>
      <c r="CR66" s="276"/>
      <c r="CS66" s="276"/>
      <c r="CT66" s="282"/>
      <c r="CU66" s="276"/>
    </row>
    <row r="67" spans="2:105" ht="10.5" customHeight="1">
      <c r="B67" s="669"/>
      <c r="C67" s="670"/>
      <c r="D67" s="671"/>
      <c r="M67" s="215" t="s">
        <v>246</v>
      </c>
      <c r="S67" s="130"/>
      <c r="AJ67" s="130"/>
      <c r="AM67" s="277"/>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76"/>
      <c r="CF67" s="276"/>
      <c r="CG67" s="276"/>
      <c r="CH67" s="824"/>
      <c r="CI67" s="824"/>
      <c r="CJ67" s="276"/>
      <c r="CK67" s="276"/>
      <c r="CL67" s="276"/>
      <c r="CM67" s="276"/>
      <c r="CN67" s="276"/>
      <c r="CO67" s="276"/>
      <c r="CP67" s="276"/>
      <c r="CQ67" s="276"/>
      <c r="CR67" s="276"/>
      <c r="CS67" s="276"/>
      <c r="CT67" s="282"/>
      <c r="CU67" s="276"/>
      <c r="CY67" s="3" t="str">
        <f>IF(CZ67=DE25,"➀","")</f>
        <v/>
      </c>
      <c r="CZ67" s="821" t="str">
        <f>IF(M57=M56,IF(AND(M68&gt;=DE32,K58&lt;=DE29),DE25,""),"")</f>
        <v/>
      </c>
      <c r="DA67" s="821"/>
    </row>
    <row r="68" spans="2:105" ht="10.5" customHeight="1">
      <c r="B68" s="669"/>
      <c r="C68" s="670"/>
      <c r="D68" s="671"/>
      <c r="M68" s="5">
        <f>DATEDIF(K15,C57+1,"Y")</f>
        <v>55</v>
      </c>
      <c r="S68" s="130"/>
      <c r="AJ68" s="130"/>
      <c r="AM68" s="277"/>
      <c r="AN68" s="276"/>
      <c r="AO68" s="276"/>
      <c r="AP68" s="276"/>
      <c r="AQ68" s="276"/>
      <c r="AR68" s="276"/>
      <c r="AS68" s="276"/>
      <c r="AT68" s="276"/>
      <c r="AU68" s="296"/>
      <c r="AV68" s="276"/>
      <c r="AW68" s="818">
        <f>IF(G22=0,"",G22)</f>
        <v>1234567</v>
      </c>
      <c r="AX68" s="818"/>
      <c r="AY68" s="818"/>
      <c r="AZ68" s="818"/>
      <c r="BA68" s="818"/>
      <c r="BB68" s="276"/>
      <c r="BC68" s="276"/>
      <c r="BD68" s="276"/>
      <c r="BE68" s="276"/>
      <c r="BF68" s="276"/>
      <c r="BG68" s="276"/>
      <c r="BH68" s="276"/>
      <c r="BI68" s="276"/>
      <c r="BJ68" s="276"/>
      <c r="BK68" s="276"/>
      <c r="BL68" s="276"/>
      <c r="BM68" s="276"/>
      <c r="BN68" s="276"/>
      <c r="BO68" s="276"/>
      <c r="BP68" s="296"/>
      <c r="BQ68" s="822" t="str">
        <f>IF(M57=M56,TEXT(K26,"#,###"),"")</f>
        <v>1,112,346</v>
      </c>
      <c r="BR68" s="822"/>
      <c r="BS68" s="822"/>
      <c r="BT68" s="822"/>
      <c r="BU68" s="822"/>
      <c r="BV68" s="822"/>
      <c r="BW68" s="822"/>
      <c r="BX68" s="307"/>
      <c r="BY68" s="823" t="str">
        <f>IF(SUM(K26)=0,"",TEXT(K55,"#,##0"))</f>
        <v>562,346</v>
      </c>
      <c r="BZ68" s="823"/>
      <c r="CA68" s="823"/>
      <c r="CB68" s="823"/>
      <c r="CC68" s="823"/>
      <c r="CD68" s="276"/>
      <c r="CE68" s="296"/>
      <c r="CF68" s="276"/>
      <c r="CG68" s="276"/>
      <c r="CH68" s="824"/>
      <c r="CI68" s="824"/>
      <c r="CJ68" s="276"/>
      <c r="CK68" s="276"/>
      <c r="CL68" s="276"/>
      <c r="CM68" s="276"/>
      <c r="CN68" s="276"/>
      <c r="CO68" s="276"/>
      <c r="CP68" s="276"/>
      <c r="CQ68" s="276"/>
      <c r="CR68" s="276"/>
      <c r="CS68" s="276"/>
      <c r="CT68" s="282"/>
      <c r="CU68" s="276"/>
    </row>
    <row r="69" spans="2:105" ht="10.5" customHeight="1">
      <c r="B69" s="657"/>
      <c r="C69" s="658"/>
      <c r="D69" s="659"/>
      <c r="S69" s="130"/>
      <c r="AJ69" s="130"/>
      <c r="AM69" s="277"/>
      <c r="AN69" s="276"/>
      <c r="AO69" s="276"/>
      <c r="AP69" s="276"/>
      <c r="AQ69" s="276"/>
      <c r="AR69" s="276"/>
      <c r="AS69" s="276"/>
      <c r="AT69" s="276"/>
      <c r="AU69" s="296"/>
      <c r="AV69" s="276"/>
      <c r="AW69" s="818" t="str">
        <f>IF(G19=0,"",G19)</f>
        <v/>
      </c>
      <c r="AX69" s="818"/>
      <c r="AY69" s="818"/>
      <c r="AZ69" s="818"/>
      <c r="BA69" s="818"/>
      <c r="BB69" s="276"/>
      <c r="BC69" s="818">
        <f>IF(H59=0,"",H59)</f>
        <v>684567</v>
      </c>
      <c r="BD69" s="819"/>
      <c r="BE69" s="819"/>
      <c r="BF69" s="819"/>
      <c r="BG69" s="819"/>
      <c r="BH69" s="819"/>
      <c r="BI69" s="276"/>
      <c r="BJ69" s="276"/>
      <c r="BK69" s="276"/>
      <c r="BL69" s="276"/>
      <c r="BM69" s="276"/>
      <c r="BN69" s="276"/>
      <c r="BO69" s="276"/>
      <c r="BP69" s="276"/>
      <c r="BQ69" s="822"/>
      <c r="BR69" s="822"/>
      <c r="BS69" s="822"/>
      <c r="BT69" s="822"/>
      <c r="BU69" s="822"/>
      <c r="BV69" s="822"/>
      <c r="BW69" s="822"/>
      <c r="BX69" s="307"/>
      <c r="BY69" s="823"/>
      <c r="BZ69" s="823"/>
      <c r="CA69" s="823"/>
      <c r="CB69" s="823"/>
      <c r="CC69" s="823"/>
      <c r="CD69" s="276"/>
      <c r="CE69" s="276"/>
      <c r="CF69" s="297"/>
      <c r="CG69" s="276"/>
      <c r="CH69" s="824" t="str">
        <f>CZ69</f>
        <v/>
      </c>
      <c r="CI69" s="824"/>
      <c r="CJ69" s="276"/>
      <c r="CK69" s="276"/>
      <c r="CL69" s="276"/>
      <c r="CM69" s="276"/>
      <c r="CN69" s="276"/>
      <c r="CO69" s="276"/>
      <c r="CP69" s="276"/>
      <c r="CQ69" s="276"/>
      <c r="CR69" s="276"/>
      <c r="CS69" s="276"/>
      <c r="CT69" s="282"/>
      <c r="CU69" s="276"/>
      <c r="CY69" s="3" t="str">
        <f>IF(CZ69=DE25,"②","")</f>
        <v/>
      </c>
      <c r="CZ69" s="825" t="str">
        <f>IF(M57=M56,IF(AND(M68&lt;DE32,K58&lt;=DE29),DE25,""),"")</f>
        <v/>
      </c>
      <c r="DA69" s="826"/>
    </row>
    <row r="70" spans="2:105" ht="9.75" customHeight="1">
      <c r="M70" s="2" t="s">
        <v>372</v>
      </c>
      <c r="S70" s="130"/>
      <c r="AJ70" s="130"/>
      <c r="AM70" s="277"/>
      <c r="AN70" s="276"/>
      <c r="AO70" s="276"/>
      <c r="AP70" s="276"/>
      <c r="AQ70" s="276"/>
      <c r="AR70" s="276"/>
      <c r="AS70" s="276"/>
      <c r="AT70" s="276"/>
      <c r="AU70" s="296"/>
      <c r="AV70" s="296"/>
      <c r="AW70" s="276"/>
      <c r="AX70" s="276"/>
      <c r="AY70" s="276"/>
      <c r="AZ70" s="276"/>
      <c r="BA70" s="276"/>
      <c r="BB70" s="296"/>
      <c r="BC70" s="296"/>
      <c r="BD70" s="296"/>
      <c r="BE70" s="296"/>
      <c r="BF70" s="296"/>
      <c r="BG70" s="296"/>
      <c r="BH70" s="276"/>
      <c r="BI70" s="276"/>
      <c r="BJ70" s="276"/>
      <c r="BK70" s="276"/>
      <c r="BL70" s="276"/>
      <c r="BM70" s="276"/>
      <c r="BN70" s="276"/>
      <c r="BO70" s="276"/>
      <c r="BP70" s="298"/>
      <c r="BQ70" s="298"/>
      <c r="BR70" s="276"/>
      <c r="BS70" s="276"/>
      <c r="BT70" s="298"/>
      <c r="BU70" s="298"/>
      <c r="BV70" s="298"/>
      <c r="BW70" s="298"/>
      <c r="BX70" s="298"/>
      <c r="BY70" s="298"/>
      <c r="BZ70" s="298"/>
      <c r="CA70" s="298"/>
      <c r="CB70" s="298"/>
      <c r="CC70" s="298"/>
      <c r="CD70" s="298"/>
      <c r="CE70" s="298"/>
      <c r="CF70" s="297"/>
      <c r="CG70" s="276"/>
      <c r="CH70" s="824"/>
      <c r="CI70" s="824"/>
      <c r="CJ70" s="276"/>
      <c r="CK70" s="276"/>
      <c r="CL70" s="276"/>
      <c r="CM70" s="276"/>
      <c r="CN70" s="276"/>
      <c r="CO70" s="276"/>
      <c r="CP70" s="276"/>
      <c r="CQ70" s="276"/>
      <c r="CR70" s="276"/>
      <c r="CS70" s="276"/>
      <c r="CT70" s="282"/>
      <c r="CU70" s="276"/>
    </row>
    <row r="71" spans="2:105" ht="9.75" customHeight="1">
      <c r="B71" t="s">
        <v>263</v>
      </c>
      <c r="M71" s="5" t="s">
        <v>247</v>
      </c>
      <c r="S71" s="130"/>
      <c r="AJ71" s="130"/>
      <c r="AM71" s="277"/>
      <c r="AN71" s="276"/>
      <c r="AO71" s="276"/>
      <c r="AP71" s="276"/>
      <c r="AQ71" s="276"/>
      <c r="AR71" s="276"/>
      <c r="AS71" s="276"/>
      <c r="AT71" s="276"/>
      <c r="AU71" s="296"/>
      <c r="AV71" s="296"/>
      <c r="AW71" s="296"/>
      <c r="AX71" s="296"/>
      <c r="AY71" s="296"/>
      <c r="AZ71" s="296"/>
      <c r="BA71" s="299"/>
      <c r="BB71" s="296"/>
      <c r="BC71" s="276"/>
      <c r="BD71" s="276"/>
      <c r="BE71" s="276"/>
      <c r="BF71" s="276"/>
      <c r="BG71" s="276"/>
      <c r="BH71" s="276"/>
      <c r="BI71" s="276"/>
      <c r="BJ71" s="276"/>
      <c r="BK71" s="276"/>
      <c r="BL71" s="276"/>
      <c r="BM71" s="276"/>
      <c r="BN71" s="276"/>
      <c r="BO71" s="276"/>
      <c r="BP71" s="276"/>
      <c r="BQ71" s="276"/>
      <c r="BR71" s="829" t="str">
        <f>IFERROR(IF(OR(BT71*1=0,BT71=""),"","年金"),"")</f>
        <v/>
      </c>
      <c r="BS71" s="829"/>
      <c r="BT71" s="830" t="str">
        <f>IF(M57=M56,TEXT(K27,"#,###"),"")</f>
        <v/>
      </c>
      <c r="BU71" s="830"/>
      <c r="BV71" s="830"/>
      <c r="BW71" s="830"/>
      <c r="BX71" s="443"/>
      <c r="BY71" s="820" t="str">
        <f>IF(SUM(K27)=0,"",TEXT(K56,"#,##0"))</f>
        <v/>
      </c>
      <c r="BZ71" s="820"/>
      <c r="CA71" s="820"/>
      <c r="CB71" s="820"/>
      <c r="CC71" s="820"/>
      <c r="CD71" s="300"/>
      <c r="CE71" s="298"/>
      <c r="CF71" s="297"/>
      <c r="CG71" s="276"/>
      <c r="CH71" s="824" t="str">
        <f>CZ71</f>
        <v>レ</v>
      </c>
      <c r="CI71" s="824"/>
      <c r="CJ71" s="276"/>
      <c r="CK71" s="276"/>
      <c r="CL71" s="276"/>
      <c r="CM71" s="276"/>
      <c r="CN71" s="276"/>
      <c r="CO71" s="276"/>
      <c r="CP71" s="276"/>
      <c r="CQ71" s="276"/>
      <c r="CR71" s="276"/>
      <c r="CS71" s="276"/>
      <c r="CT71" s="282"/>
      <c r="CU71" s="276"/>
      <c r="CY71" s="3" t="str">
        <f>IF(CZ71=DE25,"③","")</f>
        <v>③</v>
      </c>
      <c r="CZ71" s="831" t="str">
        <f>IF(M57=M56,IF(AND(K58&gt;DE29,K58&lt;=DE28),DE25,""),"")</f>
        <v>レ</v>
      </c>
      <c r="DA71" s="832"/>
    </row>
    <row r="72" spans="2:105" ht="12" customHeight="1">
      <c r="B72" s="654" t="str">
        <f>設定!B17</f>
        <v>現勤務先からの本年の給与支払額の見積額を入力してください。</v>
      </c>
      <c r="C72" s="655"/>
      <c r="D72" s="656"/>
      <c r="M72" s="5" t="s">
        <v>248</v>
      </c>
      <c r="S72" s="130"/>
      <c r="AJ72" s="130"/>
      <c r="AM72" s="277"/>
      <c r="AN72" s="276"/>
      <c r="AO72" s="276"/>
      <c r="AP72" s="276"/>
      <c r="AQ72" s="276"/>
      <c r="AR72" s="276"/>
      <c r="AS72" s="276"/>
      <c r="AT72" s="276"/>
      <c r="AU72" s="276"/>
      <c r="AV72" s="815" t="str">
        <f>IF(SUM(AX72)&gt;0,"年金","")</f>
        <v>年金</v>
      </c>
      <c r="AW72" s="815"/>
      <c r="AX72" s="816">
        <f>IF(C26=0,"",C26)</f>
        <v>2345678</v>
      </c>
      <c r="AY72" s="816"/>
      <c r="AZ72" s="816"/>
      <c r="BA72" s="816"/>
      <c r="BB72" s="276"/>
      <c r="BC72" s="817">
        <f>IF(SUM(H60)=0,"",SUM(H60))</f>
        <v>1484258</v>
      </c>
      <c r="BD72" s="817"/>
      <c r="BE72" s="817"/>
      <c r="BF72" s="817"/>
      <c r="BG72" s="817"/>
      <c r="BH72" s="817"/>
      <c r="BI72" s="276"/>
      <c r="BJ72" s="276"/>
      <c r="BK72" s="276"/>
      <c r="BL72" s="276"/>
      <c r="BM72" s="276"/>
      <c r="BN72" s="276"/>
      <c r="BO72" s="276"/>
      <c r="BP72" s="276"/>
      <c r="BQ72" s="276"/>
      <c r="BR72" s="829"/>
      <c r="BS72" s="829"/>
      <c r="BT72" s="830"/>
      <c r="BU72" s="830"/>
      <c r="BV72" s="830"/>
      <c r="BW72" s="830"/>
      <c r="BX72" s="444"/>
      <c r="BY72" s="820"/>
      <c r="BZ72" s="820"/>
      <c r="CA72" s="820"/>
      <c r="CB72" s="820"/>
      <c r="CC72" s="820"/>
      <c r="CD72" s="276"/>
      <c r="CE72" s="276"/>
      <c r="CF72" s="297"/>
      <c r="CG72" s="276"/>
      <c r="CH72" s="824"/>
      <c r="CI72" s="824"/>
      <c r="CJ72" s="276"/>
      <c r="CK72" s="276"/>
      <c r="CL72" s="276"/>
      <c r="CM72" s="276"/>
      <c r="CN72" s="276"/>
      <c r="CO72" s="276"/>
      <c r="CP72" s="276"/>
      <c r="CQ72" s="276"/>
      <c r="CR72" s="276"/>
      <c r="CS72" s="276"/>
      <c r="CT72" s="282"/>
      <c r="CU72" s="276"/>
    </row>
    <row r="73" spans="2:105" ht="12" customHeight="1">
      <c r="B73" s="669"/>
      <c r="C73" s="670"/>
      <c r="D73" s="671"/>
      <c r="M73" s="2" t="str">
        <f>O7</f>
        <v>該当</v>
      </c>
      <c r="S73" s="130"/>
      <c r="AJ73" s="130"/>
      <c r="AM73" s="277"/>
      <c r="AN73" s="276"/>
      <c r="AO73" s="276"/>
      <c r="AP73" s="276"/>
      <c r="AQ73" s="276"/>
      <c r="AR73" s="276"/>
      <c r="AS73" s="276"/>
      <c r="AT73" s="276"/>
      <c r="AU73" s="276"/>
      <c r="AV73" s="276"/>
      <c r="AW73" s="276"/>
      <c r="AX73" s="276"/>
      <c r="AY73" s="276"/>
      <c r="AZ73" s="276"/>
      <c r="BA73" s="276"/>
      <c r="BB73" s="276"/>
      <c r="BC73" s="818">
        <f>IF(SUM(H61)=0,"",SUM(H61))</f>
        <v>1469134</v>
      </c>
      <c r="BD73" s="819"/>
      <c r="BE73" s="819"/>
      <c r="BF73" s="819"/>
      <c r="BG73" s="819"/>
      <c r="BH73" s="819"/>
      <c r="BI73" s="302"/>
      <c r="BJ73" s="302"/>
      <c r="BK73" s="302"/>
      <c r="BL73" s="276"/>
      <c r="BM73" s="276"/>
      <c r="BN73" s="276"/>
      <c r="BO73" s="276"/>
      <c r="BP73" s="298"/>
      <c r="BQ73" s="276"/>
      <c r="BR73" s="276"/>
      <c r="BS73" s="276"/>
      <c r="BT73" s="298"/>
      <c r="BU73" s="298"/>
      <c r="BV73" s="298"/>
      <c r="BW73" s="298"/>
      <c r="BX73" s="298"/>
      <c r="BY73" s="855" t="str">
        <f>IF(M57=M56,TEXT(K57,"#,###"),"")</f>
        <v>33,333</v>
      </c>
      <c r="BZ73" s="855"/>
      <c r="CA73" s="855"/>
      <c r="CB73" s="855"/>
      <c r="CC73" s="855"/>
      <c r="CD73" s="276"/>
      <c r="CE73" s="276"/>
      <c r="CF73" s="302"/>
      <c r="CG73" s="276"/>
      <c r="CH73" s="856" t="str">
        <f>CZ73</f>
        <v/>
      </c>
      <c r="CI73" s="856"/>
      <c r="CJ73" s="276"/>
      <c r="CK73" s="276"/>
      <c r="CL73" s="276"/>
      <c r="CM73" s="276"/>
      <c r="CN73" s="276"/>
      <c r="CO73" s="276"/>
      <c r="CP73" s="276"/>
      <c r="CQ73" s="276"/>
      <c r="CR73" s="276"/>
      <c r="CS73" s="276"/>
      <c r="CT73" s="282"/>
      <c r="CU73" s="276"/>
      <c r="CY73" s="3" t="str">
        <f>IF(CZ73=DE25,"④","")</f>
        <v/>
      </c>
      <c r="CZ73" s="637" t="str">
        <f>IF(M57=M56,IF(AND(K58&gt;DE28,K58&lt;=DE27),DE25,""),"")</f>
        <v/>
      </c>
      <c r="DA73" s="639"/>
    </row>
    <row r="74" spans="2:105" ht="12" customHeight="1">
      <c r="B74" s="657"/>
      <c r="C74" s="658"/>
      <c r="D74" s="659"/>
      <c r="M74" s="2"/>
      <c r="S74" s="130"/>
      <c r="AJ74" s="130"/>
      <c r="AM74" s="277"/>
      <c r="AN74" s="276"/>
      <c r="AO74" s="276"/>
      <c r="AP74" s="276"/>
      <c r="AQ74" s="276"/>
      <c r="AR74" s="276"/>
      <c r="AS74" s="276"/>
      <c r="AT74" s="276"/>
      <c r="AU74" s="276"/>
      <c r="AV74" s="299"/>
      <c r="AW74" s="276"/>
      <c r="AX74" s="276"/>
      <c r="AY74" s="276"/>
      <c r="AZ74" s="276"/>
      <c r="BA74" s="276"/>
      <c r="BB74" s="276"/>
      <c r="BC74" s="276"/>
      <c r="BD74" s="276"/>
      <c r="BE74" s="276"/>
      <c r="BF74" s="276"/>
      <c r="BG74" s="276"/>
      <c r="BH74" s="276"/>
      <c r="BI74" s="276"/>
      <c r="BJ74" s="276"/>
      <c r="BK74" s="276"/>
      <c r="BL74" s="276"/>
      <c r="BM74" s="276"/>
      <c r="BN74" s="276"/>
      <c r="BO74" s="276"/>
      <c r="BP74" s="280"/>
      <c r="BQ74" s="276"/>
      <c r="BR74" s="276"/>
      <c r="BS74" s="276"/>
      <c r="BT74" s="302"/>
      <c r="BU74" s="302"/>
      <c r="BV74" s="302"/>
      <c r="BW74" s="302"/>
      <c r="BX74" s="302"/>
      <c r="BY74" s="276"/>
      <c r="BZ74" s="276"/>
      <c r="CA74" s="276"/>
      <c r="CB74" s="276"/>
      <c r="CC74" s="276"/>
      <c r="CD74" s="276"/>
      <c r="CE74" s="280"/>
      <c r="CF74" s="276"/>
      <c r="CG74" s="276"/>
      <c r="CH74" s="856"/>
      <c r="CI74" s="856"/>
      <c r="CJ74" s="276"/>
      <c r="CK74" s="276"/>
      <c r="CL74" s="276"/>
      <c r="CM74" s="276"/>
      <c r="CN74" s="276"/>
      <c r="CO74" s="276"/>
      <c r="CP74" s="276"/>
      <c r="CQ74" s="276"/>
      <c r="CR74" s="276"/>
      <c r="CS74" s="276"/>
      <c r="CT74" s="282"/>
      <c r="CU74" s="276"/>
    </row>
    <row r="75" spans="2:105" ht="9.75" customHeight="1">
      <c r="M75" s="2"/>
      <c r="S75" s="130"/>
      <c r="AJ75" s="130"/>
      <c r="AM75" s="277"/>
      <c r="AN75" s="276"/>
      <c r="AO75" s="276"/>
      <c r="AP75" s="276"/>
      <c r="AQ75" s="303"/>
      <c r="AR75" s="276"/>
      <c r="AS75" s="276"/>
      <c r="AT75" s="276"/>
      <c r="AU75" s="276"/>
      <c r="AV75" s="299"/>
      <c r="AW75" s="276"/>
      <c r="AX75" s="276"/>
      <c r="AY75" s="276"/>
      <c r="AZ75" s="276"/>
      <c r="BA75" s="276"/>
      <c r="BB75" s="276"/>
      <c r="BC75" s="827" t="str">
        <f ca="1">IF(OR(DL47=DM47,D64&lt;TODAY()),SUM(BB68:BH74),"")</f>
        <v/>
      </c>
      <c r="BD75" s="827"/>
      <c r="BE75" s="827"/>
      <c r="BF75" s="827"/>
      <c r="BG75" s="827"/>
      <c r="BH75" s="827"/>
      <c r="BI75" s="303"/>
      <c r="BJ75" s="303"/>
      <c r="BK75" s="303"/>
      <c r="BL75" s="303"/>
      <c r="BM75" s="303"/>
      <c r="BN75" s="303"/>
      <c r="BO75" s="303"/>
      <c r="BP75" s="301"/>
      <c r="BQ75" s="301"/>
      <c r="BR75" s="301"/>
      <c r="BS75" s="301"/>
      <c r="BT75" s="301"/>
      <c r="BU75" s="301"/>
      <c r="BV75" s="301"/>
      <c r="BW75" s="301"/>
      <c r="BX75" s="301"/>
      <c r="BY75" s="827" t="str">
        <f>IF(M57=M56,TEXT(K58,"#,##0"),"")</f>
        <v>595,679</v>
      </c>
      <c r="BZ75" s="827"/>
      <c r="CA75" s="827"/>
      <c r="CB75" s="827"/>
      <c r="CC75" s="827"/>
      <c r="CD75" s="276"/>
      <c r="CE75" s="276"/>
      <c r="CF75" s="276"/>
      <c r="CG75" s="276"/>
      <c r="CH75" s="276"/>
      <c r="CI75" s="276"/>
      <c r="CJ75" s="276"/>
      <c r="CK75" s="276"/>
      <c r="CL75" s="828" t="str">
        <f>CY67&amp;CY69&amp;CY71&amp;CY73</f>
        <v>③</v>
      </c>
      <c r="CM75" s="828"/>
      <c r="CN75" s="276"/>
      <c r="CO75" s="276"/>
      <c r="CP75" s="276"/>
      <c r="CQ75" s="276"/>
      <c r="CR75" s="276"/>
      <c r="CS75" s="276"/>
      <c r="CT75" s="282"/>
      <c r="CU75" s="276"/>
    </row>
    <row r="76" spans="2:105" ht="6" customHeight="1">
      <c r="M76" s="2"/>
      <c r="S76" s="130"/>
      <c r="AJ76" s="130"/>
      <c r="AM76" s="277"/>
      <c r="AN76" s="276"/>
      <c r="AO76" s="276"/>
      <c r="AP76" s="276"/>
      <c r="AQ76" s="304"/>
      <c r="AR76" s="276"/>
      <c r="AS76" s="276"/>
      <c r="AT76" s="276"/>
      <c r="AU76" s="276"/>
      <c r="AV76" s="299"/>
      <c r="AW76" s="276"/>
      <c r="AX76" s="276"/>
      <c r="AY76" s="276"/>
      <c r="AZ76" s="276"/>
      <c r="BA76" s="276"/>
      <c r="BB76" s="276"/>
      <c r="BC76" s="827"/>
      <c r="BD76" s="827"/>
      <c r="BE76" s="827"/>
      <c r="BF76" s="827"/>
      <c r="BG76" s="827"/>
      <c r="BH76" s="827"/>
      <c r="BI76" s="303"/>
      <c r="BJ76" s="303"/>
      <c r="BK76" s="303"/>
      <c r="BL76" s="303"/>
      <c r="BM76" s="303"/>
      <c r="BN76" s="303"/>
      <c r="BO76" s="303"/>
      <c r="BP76" s="301"/>
      <c r="BQ76" s="301"/>
      <c r="BR76" s="301"/>
      <c r="BS76" s="301"/>
      <c r="BT76" s="301"/>
      <c r="BU76" s="301"/>
      <c r="BV76" s="301"/>
      <c r="BW76" s="301"/>
      <c r="BX76" s="301"/>
      <c r="BY76" s="827"/>
      <c r="BZ76" s="827"/>
      <c r="CA76" s="827"/>
      <c r="CB76" s="827"/>
      <c r="CC76" s="827"/>
      <c r="CD76" s="276"/>
      <c r="CE76" s="276"/>
      <c r="CF76" s="305"/>
      <c r="CG76" s="276"/>
      <c r="CH76" s="276"/>
      <c r="CI76" s="276"/>
      <c r="CJ76" s="276"/>
      <c r="CK76" s="276"/>
      <c r="CL76" s="828"/>
      <c r="CM76" s="828"/>
      <c r="CN76" s="276"/>
      <c r="CO76" s="276"/>
      <c r="CP76" s="276"/>
      <c r="CQ76" s="276"/>
      <c r="CR76" s="276"/>
      <c r="CS76" s="276"/>
      <c r="CT76" s="282"/>
      <c r="CU76" s="276"/>
    </row>
    <row r="77" spans="2:105" ht="6.75" customHeight="1">
      <c r="M77" s="2" t="s">
        <v>373</v>
      </c>
      <c r="S77" s="130"/>
      <c r="AJ77" s="130"/>
      <c r="AM77" s="277"/>
      <c r="AN77" s="276"/>
      <c r="AO77" s="276"/>
      <c r="AP77" s="276"/>
      <c r="AQ77" s="304"/>
      <c r="AR77" s="276"/>
      <c r="AS77" s="276"/>
      <c r="AT77" s="276"/>
      <c r="AU77" s="276"/>
      <c r="AV77" s="299"/>
      <c r="AW77" s="276"/>
      <c r="AX77" s="276"/>
      <c r="AY77" s="276"/>
      <c r="AZ77" s="276"/>
      <c r="BA77" s="276"/>
      <c r="BB77" s="30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276"/>
      <c r="CD77" s="276"/>
      <c r="CE77" s="276"/>
      <c r="CF77" s="305"/>
      <c r="CG77" s="276"/>
      <c r="CH77" s="276"/>
      <c r="CI77" s="276"/>
      <c r="CJ77" s="276"/>
      <c r="CK77" s="276"/>
      <c r="CL77" s="276"/>
      <c r="CM77" s="276"/>
      <c r="CN77" s="303"/>
      <c r="CO77" s="276"/>
      <c r="CP77" s="276"/>
      <c r="CQ77" s="276"/>
      <c r="CR77" s="276"/>
      <c r="CS77" s="276"/>
      <c r="CT77" s="282"/>
      <c r="CU77" s="276"/>
    </row>
    <row r="78" spans="2:105" ht="6.75" customHeight="1">
      <c r="M78" s="5">
        <f>DD55</f>
        <v>1</v>
      </c>
      <c r="S78" s="130"/>
      <c r="AJ78" s="130"/>
      <c r="AM78" s="277"/>
      <c r="AN78" s="276"/>
      <c r="AO78" s="276"/>
      <c r="AP78" s="276"/>
      <c r="AQ78" s="850" t="str">
        <f>IF(LEN(BR53)&gt;1,DQ28,"")</f>
        <v>レ</v>
      </c>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82"/>
      <c r="CU78" s="276"/>
    </row>
    <row r="79" spans="2:105" ht="12.75" customHeight="1">
      <c r="M79" s="2" t="s">
        <v>374</v>
      </c>
      <c r="S79" s="130"/>
      <c r="AJ79" s="130"/>
      <c r="AM79" s="277"/>
      <c r="AN79" s="276"/>
      <c r="AO79" s="276"/>
      <c r="AP79" s="276"/>
      <c r="AQ79" s="850"/>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6"/>
      <c r="BR79" s="276"/>
      <c r="BS79" s="276"/>
      <c r="BT79" s="276"/>
      <c r="BU79" s="276"/>
      <c r="BV79" s="276"/>
      <c r="BW79" s="276"/>
      <c r="BX79" s="276"/>
      <c r="BY79" s="307"/>
      <c r="BZ79" s="276"/>
      <c r="CA79" s="276"/>
      <c r="CB79" s="276"/>
      <c r="CC79" s="276"/>
      <c r="CD79" s="276"/>
      <c r="CE79" s="276"/>
      <c r="CF79" s="73"/>
      <c r="CG79" s="276"/>
      <c r="CH79" s="276"/>
      <c r="CI79" s="276"/>
      <c r="CJ79" s="276"/>
      <c r="CK79" s="276"/>
      <c r="CL79" s="276"/>
      <c r="CM79" s="276"/>
      <c r="CN79" s="276"/>
      <c r="CO79" s="276"/>
      <c r="CP79" s="276"/>
      <c r="CQ79" s="308"/>
      <c r="CR79" s="308"/>
      <c r="CS79" s="308"/>
      <c r="CT79" s="309"/>
      <c r="CU79" s="276"/>
      <c r="CV79" s="7"/>
    </row>
    <row r="80" spans="2:105" ht="12.75" customHeight="1">
      <c r="M80" s="3">
        <f>IF(AND(M78=1,M73=M71,EA2&gt;8500000),1,0)</f>
        <v>0</v>
      </c>
      <c r="S80" s="130"/>
      <c r="AJ80" s="130"/>
      <c r="AM80" s="277"/>
      <c r="AN80" s="276"/>
      <c r="AO80" s="276"/>
      <c r="AP80" s="276"/>
      <c r="AQ80" s="422" t="str">
        <f>DQ29</f>
        <v/>
      </c>
      <c r="AR80" s="276"/>
      <c r="AS80" s="276"/>
      <c r="AT80" s="276"/>
      <c r="AU80" s="276"/>
      <c r="AV80" s="276"/>
      <c r="AW80" s="276"/>
      <c r="AX80" s="276"/>
      <c r="AY80" s="276"/>
      <c r="AZ80" s="276"/>
      <c r="BA80" s="276"/>
      <c r="BB80" s="276"/>
      <c r="BC80" s="276"/>
      <c r="BD80" s="310"/>
      <c r="BE80" s="276"/>
      <c r="BF80" s="276"/>
      <c r="BG80" s="851" t="str">
        <f>IF(LEN(BR53)&gt;1,DH44,"")</f>
        <v>（A)</v>
      </c>
      <c r="BH80" s="851"/>
      <c r="BI80" s="307"/>
      <c r="BJ80" s="276"/>
      <c r="BK80" s="276"/>
      <c r="BL80" s="276"/>
      <c r="BM80" s="276"/>
      <c r="BN80" s="276"/>
      <c r="BO80" s="276"/>
      <c r="BP80" s="276"/>
      <c r="BQ80" s="276"/>
      <c r="BR80" s="276"/>
      <c r="BS80" s="276"/>
      <c r="BT80" s="276"/>
      <c r="BU80" s="276"/>
      <c r="BV80" s="276"/>
      <c r="BW80" s="276"/>
      <c r="BX80" s="276"/>
      <c r="BY80" s="276"/>
      <c r="BZ80" s="276"/>
      <c r="CA80" s="276"/>
      <c r="CB80" s="276"/>
      <c r="CC80" s="276"/>
      <c r="CD80" s="276"/>
      <c r="CE80" s="276"/>
      <c r="CF80" s="73"/>
      <c r="CG80" s="276"/>
      <c r="CH80" s="276"/>
      <c r="CI80" s="276"/>
      <c r="CJ80" s="276"/>
      <c r="CK80" s="276"/>
      <c r="CL80" s="276"/>
      <c r="CM80" s="276"/>
      <c r="CN80" s="276"/>
      <c r="CO80" s="276"/>
      <c r="CP80" s="852" t="str">
        <f>DC35</f>
        <v/>
      </c>
      <c r="CQ80" s="852"/>
      <c r="CR80" s="852"/>
      <c r="CS80" s="311"/>
      <c r="CT80" s="312"/>
      <c r="CU80" s="276"/>
      <c r="CV80" s="7"/>
    </row>
    <row r="81" spans="19:99" ht="12.75" customHeight="1">
      <c r="S81" s="130"/>
      <c r="AJ81" s="130"/>
      <c r="AM81" s="277"/>
      <c r="AN81" s="276"/>
      <c r="AO81" s="276"/>
      <c r="AP81" s="276"/>
      <c r="AQ81" s="422" t="str">
        <f>DQ30</f>
        <v/>
      </c>
      <c r="AR81" s="276"/>
      <c r="AS81" s="276"/>
      <c r="AT81" s="276"/>
      <c r="AU81" s="276"/>
      <c r="AV81" s="276"/>
      <c r="AW81" s="276"/>
      <c r="AX81" s="276"/>
      <c r="AY81" s="276"/>
      <c r="AZ81" s="276"/>
      <c r="BA81" s="276"/>
      <c r="BB81" s="276"/>
      <c r="BC81" s="310"/>
      <c r="BD81" s="310"/>
      <c r="BE81" s="313"/>
      <c r="BF81" s="313"/>
      <c r="BG81" s="851"/>
      <c r="BH81" s="851"/>
      <c r="BI81" s="307"/>
      <c r="BJ81" s="276"/>
      <c r="BK81" s="276"/>
      <c r="BL81" s="276"/>
      <c r="BM81" s="276"/>
      <c r="BN81" s="276"/>
      <c r="BO81" s="276"/>
      <c r="BP81" s="276"/>
      <c r="BQ81" s="276"/>
      <c r="BR81" s="276"/>
      <c r="BS81" s="276"/>
      <c r="BT81" s="276"/>
      <c r="BU81" s="276"/>
      <c r="BV81" s="276"/>
      <c r="BW81" s="276"/>
      <c r="BX81" s="276"/>
      <c r="BY81" s="276"/>
      <c r="BZ81" s="276"/>
      <c r="CA81" s="276"/>
      <c r="CB81" s="276"/>
      <c r="CC81" s="276"/>
      <c r="CD81" s="276"/>
      <c r="CE81" s="276"/>
      <c r="CF81" s="276"/>
      <c r="CG81" s="276"/>
      <c r="CH81" s="276"/>
      <c r="CI81" s="276"/>
      <c r="CJ81" s="276"/>
      <c r="CK81" s="276"/>
      <c r="CL81" s="276"/>
      <c r="CM81" s="276"/>
      <c r="CN81" s="276"/>
      <c r="CO81" s="276"/>
      <c r="CP81" s="852"/>
      <c r="CQ81" s="852"/>
      <c r="CR81" s="852"/>
      <c r="CS81" s="311"/>
      <c r="CT81" s="312"/>
      <c r="CU81" s="276"/>
    </row>
    <row r="82" spans="19:99" ht="12.75" customHeight="1">
      <c r="S82" s="130"/>
      <c r="AJ82" s="130"/>
      <c r="AM82" s="277"/>
      <c r="AN82" s="276"/>
      <c r="AO82" s="276"/>
      <c r="AP82" s="276"/>
      <c r="AQ82" s="422" t="str">
        <f>DQ31</f>
        <v/>
      </c>
      <c r="AR82" s="276"/>
      <c r="AS82" s="276"/>
      <c r="AT82" s="276"/>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c r="BQ82" s="276"/>
      <c r="BR82" s="276"/>
      <c r="BS82" s="276"/>
      <c r="BT82" s="276"/>
      <c r="BU82" s="276"/>
      <c r="BV82" s="276"/>
      <c r="BW82" s="276"/>
      <c r="BX82" s="276"/>
      <c r="BY82" s="276"/>
      <c r="BZ82" s="276"/>
      <c r="CA82" s="276"/>
      <c r="CB82" s="276"/>
      <c r="CC82" s="276"/>
      <c r="CD82" s="276"/>
      <c r="CE82" s="276"/>
      <c r="CF82" s="276"/>
      <c r="CG82" s="276"/>
      <c r="CH82" s="276"/>
      <c r="CI82" s="276"/>
      <c r="CJ82" s="276"/>
      <c r="CK82" s="276"/>
      <c r="CL82" s="276"/>
      <c r="CM82" s="276"/>
      <c r="CN82" s="276"/>
      <c r="CO82" s="276"/>
      <c r="CP82" s="276"/>
      <c r="CQ82" s="314"/>
      <c r="CR82" s="314"/>
      <c r="CS82" s="311"/>
      <c r="CT82" s="312"/>
      <c r="CU82" s="276"/>
    </row>
    <row r="83" spans="19:99" ht="12.75" customHeight="1">
      <c r="S83" s="130"/>
      <c r="AJ83" s="130"/>
      <c r="AM83" s="277"/>
      <c r="AN83" s="276"/>
      <c r="AO83" s="276"/>
      <c r="AP83" s="276"/>
      <c r="AQ83" s="422" t="str">
        <f>DQ32</f>
        <v/>
      </c>
      <c r="AR83" s="276"/>
      <c r="AS83" s="276"/>
      <c r="AT83" s="276"/>
      <c r="AU83" s="276"/>
      <c r="AV83" s="276"/>
      <c r="AW83" s="276"/>
      <c r="AX83" s="276"/>
      <c r="AY83" s="276"/>
      <c r="AZ83" s="276"/>
      <c r="BA83" s="276"/>
      <c r="BB83" s="276"/>
      <c r="BC83" s="276"/>
      <c r="BD83" s="276"/>
      <c r="BE83" s="314"/>
      <c r="BF83" s="276"/>
      <c r="BG83" s="276"/>
      <c r="BH83" s="276"/>
      <c r="BI83" s="276"/>
      <c r="BJ83" s="276"/>
      <c r="BK83" s="276"/>
      <c r="BL83" s="276"/>
      <c r="BM83" s="276"/>
      <c r="BN83" s="276"/>
      <c r="BO83" s="276"/>
      <c r="BP83" s="276"/>
      <c r="BQ83" s="276"/>
      <c r="BR83" s="276"/>
      <c r="BS83" s="276"/>
      <c r="BT83" s="276"/>
      <c r="BU83" s="276"/>
      <c r="BV83" s="276"/>
      <c r="BW83" s="276"/>
      <c r="BX83" s="276"/>
      <c r="BY83" s="276"/>
      <c r="BZ83" s="276"/>
      <c r="CA83" s="276"/>
      <c r="CB83" s="276"/>
      <c r="CC83" s="276"/>
      <c r="CD83" s="276"/>
      <c r="CE83" s="276"/>
      <c r="CF83" s="276"/>
      <c r="CG83" s="276"/>
      <c r="CH83" s="276"/>
      <c r="CI83" s="276"/>
      <c r="CJ83" s="276"/>
      <c r="CK83" s="276"/>
      <c r="CL83" s="276"/>
      <c r="CM83" s="276"/>
      <c r="CN83" s="276"/>
      <c r="CO83" s="276"/>
      <c r="CP83" s="853" t="str">
        <f>DD35</f>
        <v>３８万</v>
      </c>
      <c r="CQ83" s="853"/>
      <c r="CR83" s="853"/>
      <c r="CS83" s="315"/>
      <c r="CT83" s="316"/>
      <c r="CU83" s="276"/>
    </row>
    <row r="84" spans="19:99" ht="7.5" customHeight="1">
      <c r="S84" s="130"/>
      <c r="AJ84" s="130"/>
      <c r="AM84" s="277"/>
      <c r="AN84" s="276"/>
      <c r="AO84" s="276"/>
      <c r="AP84" s="276"/>
      <c r="AQ84" s="850" t="str">
        <f>DQ33</f>
        <v/>
      </c>
      <c r="AR84" s="276"/>
      <c r="AS84" s="276"/>
      <c r="AT84" s="276"/>
      <c r="AU84" s="276"/>
      <c r="AV84" s="276"/>
      <c r="AW84" s="276"/>
      <c r="AX84" s="276"/>
      <c r="AY84" s="276"/>
      <c r="AZ84" s="276"/>
      <c r="BA84" s="276"/>
      <c r="BB84" s="276"/>
      <c r="BC84" s="276"/>
      <c r="BD84" s="276"/>
      <c r="BE84" s="276"/>
      <c r="BF84" s="276"/>
      <c r="BG84" s="854" t="str">
        <f>IF(LEN(BR53)&gt;1,DI44,"")</f>
        <v>48万</v>
      </c>
      <c r="BH84" s="854"/>
      <c r="BI84" s="317"/>
      <c r="BJ84" s="317"/>
      <c r="BK84" s="276"/>
      <c r="BL84" s="276"/>
      <c r="BM84" s="276"/>
      <c r="BN84" s="276"/>
      <c r="BO84" s="276"/>
      <c r="BP84" s="276"/>
      <c r="BQ84" s="276"/>
      <c r="BR84" s="276"/>
      <c r="BS84" s="276"/>
      <c r="BT84" s="276"/>
      <c r="BU84" s="276"/>
      <c r="BV84" s="276"/>
      <c r="BW84" s="276"/>
      <c r="BX84" s="276"/>
      <c r="BY84" s="276"/>
      <c r="BZ84" s="276"/>
      <c r="CA84" s="276"/>
      <c r="CB84" s="276"/>
      <c r="CC84" s="276"/>
      <c r="CD84" s="276"/>
      <c r="CE84" s="276"/>
      <c r="CF84" s="276"/>
      <c r="CG84" s="276"/>
      <c r="CH84" s="276"/>
      <c r="CI84" s="276"/>
      <c r="CJ84" s="276"/>
      <c r="CK84" s="276"/>
      <c r="CL84" s="276"/>
      <c r="CM84" s="276"/>
      <c r="CN84" s="276"/>
      <c r="CO84" s="276"/>
      <c r="CP84" s="276"/>
      <c r="CQ84" s="276"/>
      <c r="CR84" s="276"/>
      <c r="CS84" s="276"/>
      <c r="CT84" s="282"/>
      <c r="CU84" s="276"/>
    </row>
    <row r="85" spans="19:99" ht="7.5" customHeight="1">
      <c r="S85" s="130"/>
      <c r="AJ85" s="130"/>
      <c r="AM85" s="277"/>
      <c r="AN85" s="276"/>
      <c r="AO85" s="276"/>
      <c r="AP85" s="276"/>
      <c r="AQ85" s="850"/>
      <c r="AR85" s="280"/>
      <c r="AS85" s="280"/>
      <c r="AT85" s="280"/>
      <c r="AU85" s="280"/>
      <c r="AV85" s="280"/>
      <c r="AW85" s="280"/>
      <c r="AX85" s="280"/>
      <c r="AY85" s="280"/>
      <c r="AZ85" s="280"/>
      <c r="BA85" s="280"/>
      <c r="BB85" s="280"/>
      <c r="BC85" s="276"/>
      <c r="BD85" s="276"/>
      <c r="BE85" s="276"/>
      <c r="BF85" s="276"/>
      <c r="BG85" s="854"/>
      <c r="BH85" s="854"/>
      <c r="BI85" s="317"/>
      <c r="BJ85" s="317"/>
      <c r="BK85" s="276"/>
      <c r="BL85" s="276"/>
      <c r="BM85" s="276"/>
      <c r="BN85" s="276"/>
      <c r="BO85" s="276"/>
      <c r="BP85" s="276"/>
      <c r="BQ85" s="276"/>
      <c r="BR85" s="276"/>
      <c r="BS85" s="276"/>
      <c r="BT85" s="276"/>
      <c r="BU85" s="276"/>
      <c r="BV85" s="276"/>
      <c r="BW85" s="276"/>
      <c r="BX85" s="276"/>
      <c r="BY85" s="276"/>
      <c r="BZ85" s="276"/>
      <c r="CA85" s="276"/>
      <c r="CB85" s="276"/>
      <c r="CC85" s="276"/>
      <c r="CD85" s="276"/>
      <c r="CE85" s="276"/>
      <c r="CF85" s="276"/>
      <c r="CG85" s="276"/>
      <c r="CH85" s="276"/>
      <c r="CI85" s="276"/>
      <c r="CJ85" s="276"/>
      <c r="CK85" s="276"/>
      <c r="CL85" s="276"/>
      <c r="CM85" s="276"/>
      <c r="CN85" s="276"/>
      <c r="CO85" s="276"/>
      <c r="CP85" s="276"/>
      <c r="CQ85" s="276"/>
      <c r="CR85" s="276"/>
      <c r="CS85" s="276"/>
      <c r="CT85" s="282"/>
      <c r="CU85" s="276"/>
    </row>
    <row r="86" spans="19:99" ht="9" customHeight="1">
      <c r="S86" s="130"/>
      <c r="AJ86" s="130"/>
      <c r="AM86" s="277"/>
      <c r="AN86" s="276"/>
      <c r="AO86" s="276"/>
      <c r="AP86" s="276"/>
      <c r="AQ86" s="842" t="str">
        <f>IF(DR33=7,"合計所得見積額"&amp;B22,"")</f>
        <v/>
      </c>
      <c r="AR86" s="842"/>
      <c r="AS86" s="842"/>
      <c r="AT86" s="842"/>
      <c r="AU86" s="842"/>
      <c r="AV86" s="842"/>
      <c r="AW86" s="842"/>
      <c r="AX86" s="842"/>
      <c r="AY86" s="842"/>
      <c r="AZ86" s="842"/>
      <c r="BA86" s="842"/>
      <c r="BB86" s="842"/>
      <c r="BC86" s="276"/>
      <c r="BD86" s="276"/>
      <c r="BE86" s="276"/>
      <c r="BF86" s="276"/>
      <c r="BG86" s="317"/>
      <c r="BH86" s="317"/>
      <c r="BI86" s="317"/>
      <c r="BJ86" s="317"/>
      <c r="BK86" s="276"/>
      <c r="BL86" s="276"/>
      <c r="BM86" s="276"/>
      <c r="BN86" s="276"/>
      <c r="BO86" s="276"/>
      <c r="BP86" s="276"/>
      <c r="BQ86" s="276"/>
      <c r="BR86" s="276"/>
      <c r="BS86" s="276"/>
      <c r="BT86" s="276"/>
      <c r="BU86" s="276"/>
      <c r="BV86" s="276"/>
      <c r="BW86" s="276"/>
      <c r="BX86" s="276"/>
      <c r="BY86" s="276"/>
      <c r="BZ86" s="276"/>
      <c r="CA86" s="276"/>
      <c r="CB86" s="276"/>
      <c r="CC86" s="276"/>
      <c r="CD86" s="276"/>
      <c r="CE86" s="276"/>
      <c r="CF86" s="276"/>
      <c r="CG86" s="276"/>
      <c r="CH86" s="276"/>
      <c r="CI86" s="276"/>
      <c r="CJ86" s="276"/>
      <c r="CK86" s="276"/>
      <c r="CL86" s="276"/>
      <c r="CM86" s="276"/>
      <c r="CN86" s="276"/>
      <c r="CO86" s="276"/>
      <c r="CP86" s="276"/>
      <c r="CQ86" s="276"/>
      <c r="CR86" s="276"/>
      <c r="CS86" s="276"/>
      <c r="CT86" s="282"/>
      <c r="CU86" s="276"/>
    </row>
    <row r="87" spans="19:99" ht="8.25" customHeight="1">
      <c r="S87" s="130"/>
      <c r="AJ87" s="130"/>
      <c r="AM87" s="277"/>
      <c r="AN87" s="276"/>
      <c r="AO87" s="276"/>
      <c r="AP87" s="276"/>
      <c r="AQ87" s="842"/>
      <c r="AR87" s="842"/>
      <c r="AS87" s="842"/>
      <c r="AT87" s="842"/>
      <c r="AU87" s="842"/>
      <c r="AV87" s="842"/>
      <c r="AW87" s="842"/>
      <c r="AX87" s="842"/>
      <c r="AY87" s="842"/>
      <c r="AZ87" s="842"/>
      <c r="BA87" s="842"/>
      <c r="BB87" s="842"/>
      <c r="BC87" s="276"/>
      <c r="BD87" s="276"/>
      <c r="BE87" s="276"/>
      <c r="BF87" s="276"/>
      <c r="BG87" s="276"/>
      <c r="BH87" s="276"/>
      <c r="BI87" s="276"/>
      <c r="BJ87" s="276"/>
      <c r="BK87" s="276"/>
      <c r="BL87" s="276"/>
      <c r="BM87" s="276"/>
      <c r="BN87" s="276"/>
      <c r="BO87" s="276"/>
      <c r="BP87" s="276"/>
      <c r="BQ87" s="276"/>
      <c r="BR87" s="276"/>
      <c r="BS87" s="276"/>
      <c r="BT87" s="276"/>
      <c r="BU87" s="276"/>
      <c r="BV87" s="276"/>
      <c r="BW87" s="276"/>
      <c r="BX87" s="276"/>
      <c r="BY87" s="276"/>
      <c r="BZ87" s="276"/>
      <c r="CA87" s="276"/>
      <c r="CB87" s="276"/>
      <c r="CC87" s="276"/>
      <c r="CD87" s="276"/>
      <c r="CE87" s="276"/>
      <c r="CF87" s="276"/>
      <c r="CG87" s="276"/>
      <c r="CH87" s="276"/>
      <c r="CI87" s="276"/>
      <c r="CJ87" s="276"/>
      <c r="CK87" s="276"/>
      <c r="CL87" s="276"/>
      <c r="CM87" s="276"/>
      <c r="CN87" s="276"/>
      <c r="CO87" s="276"/>
      <c r="CP87" s="276"/>
      <c r="CQ87" s="276"/>
      <c r="CR87" s="276"/>
      <c r="CS87" s="276"/>
      <c r="CT87" s="282"/>
      <c r="CU87" s="276"/>
    </row>
    <row r="88" spans="19:99" ht="8.25" customHeight="1">
      <c r="S88" s="130"/>
      <c r="AJ88" s="130"/>
      <c r="AM88" s="277"/>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276"/>
      <c r="BN88" s="276"/>
      <c r="BO88" s="276"/>
      <c r="BP88" s="276"/>
      <c r="BQ88" s="276"/>
      <c r="BR88" s="276"/>
      <c r="BS88" s="276"/>
      <c r="BT88" s="276"/>
      <c r="BU88" s="276"/>
      <c r="BV88" s="276"/>
      <c r="BW88" s="276"/>
      <c r="BX88" s="276"/>
      <c r="BY88" s="276"/>
      <c r="BZ88" s="276"/>
      <c r="CA88" s="276"/>
      <c r="CB88" s="276"/>
      <c r="CC88" s="276"/>
      <c r="CD88" s="276"/>
      <c r="CE88" s="276"/>
      <c r="CF88" s="276"/>
      <c r="CG88" s="276"/>
      <c r="CH88" s="276"/>
      <c r="CI88" s="276"/>
      <c r="CJ88" s="276"/>
      <c r="CK88" s="276"/>
      <c r="CL88" s="276"/>
      <c r="CM88" s="276"/>
      <c r="CN88" s="276"/>
      <c r="CO88" s="276"/>
      <c r="CP88" s="276"/>
      <c r="CQ88" s="276"/>
      <c r="CR88" s="276"/>
      <c r="CS88" s="276"/>
      <c r="CT88" s="282"/>
      <c r="CU88" s="276"/>
    </row>
    <row r="89" spans="19:99" ht="8.25" customHeight="1">
      <c r="S89" s="130"/>
      <c r="AJ89" s="130"/>
      <c r="AM89" s="277"/>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c r="BQ89" s="276"/>
      <c r="BR89" s="276"/>
      <c r="BS89" s="276"/>
      <c r="BT89" s="276"/>
      <c r="BU89" s="276"/>
      <c r="BV89" s="276"/>
      <c r="BW89" s="276"/>
      <c r="BX89" s="276"/>
      <c r="BY89" s="276"/>
      <c r="BZ89" s="276"/>
      <c r="CA89" s="276"/>
      <c r="CB89" s="276"/>
      <c r="CC89" s="276"/>
      <c r="CD89" s="276"/>
      <c r="CE89" s="276"/>
      <c r="CF89" s="276"/>
      <c r="CG89" s="276"/>
      <c r="CH89" s="276"/>
      <c r="CI89" s="276"/>
      <c r="CJ89" s="276"/>
      <c r="CK89" s="276"/>
      <c r="CL89" s="276"/>
      <c r="CM89" s="276"/>
      <c r="CN89" s="276"/>
      <c r="CO89" s="276"/>
      <c r="CP89" s="276"/>
      <c r="CQ89" s="276"/>
      <c r="CR89" s="276"/>
      <c r="CS89" s="276"/>
      <c r="CT89" s="282"/>
      <c r="CU89" s="276"/>
    </row>
    <row r="90" spans="19:99" ht="8.25" customHeight="1">
      <c r="S90" s="130"/>
      <c r="AJ90" s="130"/>
      <c r="AM90" s="277"/>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c r="BQ90" s="276"/>
      <c r="BR90" s="276"/>
      <c r="BS90" s="276"/>
      <c r="BT90" s="276"/>
      <c r="BU90" s="276"/>
      <c r="BV90" s="276"/>
      <c r="BW90" s="276"/>
      <c r="BX90" s="276"/>
      <c r="BY90" s="276"/>
      <c r="BZ90" s="276"/>
      <c r="CA90" s="276"/>
      <c r="CB90" s="276"/>
      <c r="CC90" s="276"/>
      <c r="CD90" s="276"/>
      <c r="CE90" s="276"/>
      <c r="CF90" s="276"/>
      <c r="CG90" s="276"/>
      <c r="CH90" s="276"/>
      <c r="CI90" s="276"/>
      <c r="CJ90" s="276"/>
      <c r="CK90" s="276"/>
      <c r="CL90" s="276"/>
      <c r="CM90" s="276"/>
      <c r="CN90" s="276"/>
      <c r="CO90" s="276"/>
      <c r="CP90" s="276"/>
      <c r="CQ90" s="276"/>
      <c r="CR90" s="276"/>
      <c r="CS90" s="276"/>
      <c r="CT90" s="282"/>
      <c r="CU90" s="276"/>
    </row>
    <row r="91" spans="19:99" ht="8.25" customHeight="1">
      <c r="S91" s="130"/>
      <c r="AJ91" s="130"/>
      <c r="AM91" s="277"/>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276"/>
      <c r="CC91" s="276"/>
      <c r="CD91" s="276"/>
      <c r="CE91" s="276"/>
      <c r="CF91" s="276"/>
      <c r="CG91" s="276"/>
      <c r="CH91" s="276"/>
      <c r="CI91" s="276"/>
      <c r="CJ91" s="276"/>
      <c r="CK91" s="276"/>
      <c r="CL91" s="276"/>
      <c r="CM91" s="276"/>
      <c r="CN91" s="276"/>
      <c r="CO91" s="276"/>
      <c r="CP91" s="276"/>
      <c r="CQ91" s="276"/>
      <c r="CR91" s="276"/>
      <c r="CS91" s="276"/>
      <c r="CT91" s="282"/>
      <c r="CU91" s="276"/>
    </row>
    <row r="92" spans="19:99" ht="8.25" customHeight="1">
      <c r="S92" s="130"/>
      <c r="AJ92" s="130"/>
      <c r="AM92" s="277"/>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276"/>
      <c r="CC92" s="276"/>
      <c r="CD92" s="276"/>
      <c r="CE92" s="276"/>
      <c r="CF92" s="276"/>
      <c r="CG92" s="276"/>
      <c r="CH92" s="276"/>
      <c r="CI92" s="276"/>
      <c r="CJ92" s="276"/>
      <c r="CK92" s="276"/>
      <c r="CL92" s="276"/>
      <c r="CM92" s="276"/>
      <c r="CN92" s="276"/>
      <c r="CO92" s="276"/>
      <c r="CP92" s="276"/>
      <c r="CQ92" s="276"/>
      <c r="CR92" s="276"/>
      <c r="CS92" s="276"/>
      <c r="CT92" s="282"/>
      <c r="CU92" s="276"/>
    </row>
    <row r="93" spans="19:99" ht="8.25" customHeight="1">
      <c r="S93" s="130"/>
      <c r="AJ93" s="130"/>
      <c r="AM93" s="277"/>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276"/>
      <c r="CC93" s="276"/>
      <c r="CD93" s="276"/>
      <c r="CE93" s="276"/>
      <c r="CF93" s="276"/>
      <c r="CG93" s="276"/>
      <c r="CH93" s="843" t="str">
        <f>IF(DQ52&gt;0,DR52,"")</f>
        <v/>
      </c>
      <c r="CI93" s="843"/>
      <c r="CJ93" s="276"/>
      <c r="CK93" s="276"/>
      <c r="CL93" s="276"/>
      <c r="CM93" s="276"/>
      <c r="CN93" s="276"/>
      <c r="CO93" s="276"/>
      <c r="CP93" s="276"/>
      <c r="CQ93" s="276"/>
      <c r="CR93" s="276"/>
      <c r="CS93" s="276"/>
      <c r="CT93" s="282"/>
      <c r="CU93" s="276"/>
    </row>
    <row r="94" spans="19:99" ht="8.25" customHeight="1">
      <c r="S94" s="130"/>
      <c r="AJ94" s="130"/>
      <c r="AM94" s="277"/>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276"/>
      <c r="CD94" s="276"/>
      <c r="CE94" s="276"/>
      <c r="CF94" s="276"/>
      <c r="CG94" s="276"/>
      <c r="CH94" s="843"/>
      <c r="CI94" s="843"/>
      <c r="CJ94" s="276"/>
      <c r="CK94" s="276"/>
      <c r="CL94" s="276"/>
      <c r="CM94" s="276"/>
      <c r="CN94" s="276"/>
      <c r="CO94" s="276"/>
      <c r="CP94" s="276"/>
      <c r="CQ94" s="276"/>
      <c r="CR94" s="276"/>
      <c r="CS94" s="276"/>
      <c r="CT94" s="282"/>
      <c r="CU94" s="276"/>
    </row>
    <row r="95" spans="19:99" ht="15.75" customHeight="1">
      <c r="S95" s="130"/>
      <c r="AJ95" s="130"/>
      <c r="AM95" s="277"/>
      <c r="AN95" s="276"/>
      <c r="AO95" s="276"/>
      <c r="AP95" s="402" t="str">
        <f>DJ51</f>
        <v>レ</v>
      </c>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276"/>
      <c r="CC95" s="276"/>
      <c r="CD95" s="276"/>
      <c r="CE95" s="276"/>
      <c r="CF95" s="276"/>
      <c r="CG95" s="276"/>
      <c r="CH95" s="276"/>
      <c r="CI95" s="318"/>
      <c r="CJ95" s="276"/>
      <c r="CK95" s="276"/>
      <c r="CL95" s="276"/>
      <c r="CM95" s="276"/>
      <c r="CN95" s="276"/>
      <c r="CO95" s="276"/>
      <c r="CP95" s="276"/>
      <c r="CQ95" s="276"/>
      <c r="CR95" s="276"/>
      <c r="CS95" s="276"/>
      <c r="CT95" s="282"/>
      <c r="CU95" s="276"/>
    </row>
    <row r="96" spans="19:99" ht="15.75" customHeight="1">
      <c r="S96" s="130"/>
      <c r="AJ96" s="130"/>
      <c r="AM96" s="277"/>
      <c r="AN96" s="276"/>
      <c r="AO96" s="276"/>
      <c r="AP96" s="402" t="str">
        <f>DJ53</f>
        <v/>
      </c>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c r="BQ96" s="364" t="str">
        <f t="shared" ref="BQ96:CB96" si="14">IFERROR(IF($M$57=$M$56,IF($DQ$51*1=0,"",MID($DQ$51,AZ49,1)),""),MID($DQ$51,AZ49,1))</f>
        <v>※</v>
      </c>
      <c r="BR96" s="364" t="str">
        <f t="shared" si="14"/>
        <v>※</v>
      </c>
      <c r="BS96" s="364" t="str">
        <f t="shared" si="14"/>
        <v>※</v>
      </c>
      <c r="BT96" s="364" t="str">
        <f t="shared" si="14"/>
        <v>※</v>
      </c>
      <c r="BU96" s="364" t="str">
        <f t="shared" si="14"/>
        <v>※</v>
      </c>
      <c r="BV96" s="364" t="str">
        <f t="shared" si="14"/>
        <v>※</v>
      </c>
      <c r="BW96" s="364" t="str">
        <f t="shared" si="14"/>
        <v>※</v>
      </c>
      <c r="BX96" s="364" t="str">
        <f t="shared" si="14"/>
        <v>※</v>
      </c>
      <c r="BY96" s="364" t="str">
        <f t="shared" si="14"/>
        <v>※</v>
      </c>
      <c r="BZ96" s="364" t="str">
        <f t="shared" si="14"/>
        <v>※</v>
      </c>
      <c r="CA96" s="364" t="str">
        <f t="shared" si="14"/>
        <v>※</v>
      </c>
      <c r="CB96" s="364" t="str">
        <f t="shared" si="14"/>
        <v>※</v>
      </c>
      <c r="CC96" s="844" t="str">
        <f>IF(DQ52=0,"",TEXT(DQ52,"　ｇｇｇ　 e   　 m　  　 d"))</f>
        <v/>
      </c>
      <c r="CD96" s="844"/>
      <c r="CE96" s="844"/>
      <c r="CF96" s="844"/>
      <c r="CG96" s="844"/>
      <c r="CH96" s="844"/>
      <c r="CI96" s="318"/>
      <c r="CJ96" s="276"/>
      <c r="CK96" s="845" t="str">
        <f>CHAR(10)&amp;DM54</f>
        <v xml:space="preserve">
</v>
      </c>
      <c r="CL96" s="845"/>
      <c r="CM96" s="845"/>
      <c r="CN96" s="845"/>
      <c r="CO96" s="845"/>
      <c r="CP96" s="845"/>
      <c r="CQ96" s="845"/>
      <c r="CR96" s="845"/>
      <c r="CS96" s="276"/>
      <c r="CT96" s="282"/>
      <c r="CU96" s="276"/>
    </row>
    <row r="97" spans="19:99" ht="15.75" customHeight="1">
      <c r="S97" s="130"/>
      <c r="AJ97" s="130"/>
      <c r="AM97" s="277"/>
      <c r="AN97" s="276"/>
      <c r="AO97" s="276"/>
      <c r="AP97" s="403" t="str">
        <f>DJ54</f>
        <v/>
      </c>
      <c r="AQ97" s="276"/>
      <c r="AR97" s="276"/>
      <c r="AS97" s="276"/>
      <c r="AT97" s="276"/>
      <c r="AU97" s="276"/>
      <c r="AV97" s="276"/>
      <c r="AW97" s="276"/>
      <c r="AX97" s="276"/>
      <c r="AY97" s="276"/>
      <c r="AZ97" s="276"/>
      <c r="BA97" s="276"/>
      <c r="BB97" s="276"/>
      <c r="BC97" s="276"/>
      <c r="BD97" s="276"/>
      <c r="BE97" s="276"/>
      <c r="BF97" s="276"/>
      <c r="BG97" s="276"/>
      <c r="BH97" s="276"/>
      <c r="BI97" s="846">
        <f>DQ49</f>
        <v>0</v>
      </c>
      <c r="BJ97" s="846"/>
      <c r="BK97" s="846"/>
      <c r="BL97" s="846"/>
      <c r="BM97" s="846"/>
      <c r="BN97" s="846"/>
      <c r="BO97" s="846"/>
      <c r="BP97" s="846"/>
      <c r="BQ97" s="276"/>
      <c r="BR97" s="276"/>
      <c r="BS97" s="276"/>
      <c r="BT97" s="276"/>
      <c r="BU97" s="276"/>
      <c r="BV97" s="276"/>
      <c r="BW97" s="276"/>
      <c r="BX97" s="276"/>
      <c r="BY97" s="276"/>
      <c r="BZ97" s="276"/>
      <c r="CA97" s="276"/>
      <c r="CB97" s="276"/>
      <c r="CC97" s="276"/>
      <c r="CD97" s="276"/>
      <c r="CE97" s="276"/>
      <c r="CF97" s="276"/>
      <c r="CG97" s="276"/>
      <c r="CH97" s="276"/>
      <c r="CI97" s="276"/>
      <c r="CJ97" s="276"/>
      <c r="CK97" s="845"/>
      <c r="CL97" s="845"/>
      <c r="CM97" s="845"/>
      <c r="CN97" s="845"/>
      <c r="CO97" s="845"/>
      <c r="CP97" s="845"/>
      <c r="CQ97" s="845"/>
      <c r="CR97" s="845"/>
      <c r="CS97" s="276"/>
      <c r="CT97" s="282"/>
      <c r="CU97" s="276"/>
    </row>
    <row r="98" spans="19:99" ht="15.75" customHeight="1">
      <c r="S98" s="130"/>
      <c r="AJ98" s="130"/>
      <c r="AM98" s="277"/>
      <c r="AN98" s="276"/>
      <c r="AO98" s="276"/>
      <c r="AP98" s="403" t="str">
        <f>DJ52</f>
        <v/>
      </c>
      <c r="AQ98" s="276"/>
      <c r="AR98" s="276"/>
      <c r="AS98" s="276"/>
      <c r="AT98" s="276"/>
      <c r="AU98" s="276"/>
      <c r="AV98" s="276"/>
      <c r="AW98" s="276"/>
      <c r="AX98" s="276"/>
      <c r="AY98" s="276"/>
      <c r="AZ98" s="276"/>
      <c r="BA98" s="276"/>
      <c r="BB98" s="276"/>
      <c r="BC98" s="276"/>
      <c r="BD98" s="276"/>
      <c r="BE98" s="276"/>
      <c r="BF98" s="276"/>
      <c r="BG98" s="276"/>
      <c r="BH98" s="276"/>
      <c r="BI98" s="846">
        <f>DQ50</f>
        <v>0</v>
      </c>
      <c r="BJ98" s="846"/>
      <c r="BK98" s="846"/>
      <c r="BL98" s="846"/>
      <c r="BM98" s="846"/>
      <c r="BN98" s="846"/>
      <c r="BO98" s="846"/>
      <c r="BP98" s="846"/>
      <c r="BQ98" s="842" t="str">
        <f>" "&amp;TEXT(DQ53,"#")</f>
        <v xml:space="preserve"> </v>
      </c>
      <c r="BR98" s="842"/>
      <c r="BS98" s="842"/>
      <c r="BT98" s="842"/>
      <c r="BU98" s="842"/>
      <c r="BV98" s="842"/>
      <c r="BW98" s="842"/>
      <c r="BX98" s="842"/>
      <c r="BY98" s="842"/>
      <c r="BZ98" s="842"/>
      <c r="CA98" s="842"/>
      <c r="CB98" s="842"/>
      <c r="CC98" s="847" t="str">
        <f>IF(DQ54=0,"",DQ54)</f>
        <v/>
      </c>
      <c r="CD98" s="847"/>
      <c r="CE98" s="847"/>
      <c r="CF98" s="848" t="str">
        <f>TEXT(DQ55,"#,###")</f>
        <v/>
      </c>
      <c r="CG98" s="848"/>
      <c r="CH98" s="848"/>
      <c r="CI98" s="319"/>
      <c r="CJ98" s="276"/>
      <c r="CK98" s="849" t="str">
        <f>DM52</f>
        <v>レ</v>
      </c>
      <c r="CL98" s="849"/>
      <c r="CM98" s="276"/>
      <c r="CN98" s="276"/>
      <c r="CO98" s="276"/>
      <c r="CP98" s="276"/>
      <c r="CQ98" s="276"/>
      <c r="CR98" s="276"/>
      <c r="CS98" s="276"/>
      <c r="CT98" s="282"/>
      <c r="CU98" s="276"/>
    </row>
    <row r="99" spans="19:99" ht="15.75" customHeight="1">
      <c r="S99" s="130"/>
      <c r="AJ99" s="130"/>
      <c r="AM99" s="320"/>
      <c r="AN99" s="321"/>
      <c r="AO99" s="321"/>
      <c r="AP99" s="321"/>
      <c r="AQ99" s="321"/>
      <c r="AR99" s="321"/>
      <c r="AS99" s="321"/>
      <c r="AT99" s="321"/>
      <c r="AU99" s="321"/>
      <c r="AV99" s="321"/>
      <c r="AW99" s="321"/>
      <c r="AX99" s="321"/>
      <c r="AY99" s="321"/>
      <c r="AZ99" s="321"/>
      <c r="BA99" s="321"/>
      <c r="BB99" s="321"/>
      <c r="BC99" s="321"/>
      <c r="BD99" s="321"/>
      <c r="BE99" s="321"/>
      <c r="BF99" s="321"/>
      <c r="BG99" s="321"/>
      <c r="BH99" s="321"/>
      <c r="BI99" s="321"/>
      <c r="BJ99" s="321"/>
      <c r="BK99" s="321"/>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2"/>
      <c r="CU99" s="276"/>
    </row>
    <row r="100" spans="19:99" ht="12" customHeight="1">
      <c r="S100" s="130"/>
      <c r="AJ100" s="130"/>
    </row>
    <row r="101" spans="19:99" ht="11.25" customHeight="1">
      <c r="S101" s="130"/>
      <c r="AJ101" s="130"/>
    </row>
    <row r="102" spans="19:99" ht="11.25" customHeight="1">
      <c r="S102" s="130"/>
      <c r="AJ102" s="130"/>
    </row>
    <row r="103" spans="19:99" ht="11.25" customHeight="1">
      <c r="S103" s="130"/>
      <c r="AJ103" s="130"/>
    </row>
    <row r="104" spans="19:99" ht="11.25" customHeight="1">
      <c r="S104" s="130"/>
      <c r="AJ104" s="130"/>
    </row>
    <row r="105" spans="19:99" ht="12.75" customHeight="1">
      <c r="S105" s="130"/>
      <c r="AJ105" s="130"/>
    </row>
    <row r="106" spans="19:99" ht="12.75" customHeight="1">
      <c r="S106" s="130"/>
      <c r="AJ106" s="130"/>
    </row>
    <row r="107" spans="19:99" ht="12.75" customHeight="1">
      <c r="S107" s="130"/>
      <c r="AJ107" s="130"/>
    </row>
    <row r="108" spans="19:99" ht="12.75" customHeight="1">
      <c r="S108" s="130"/>
      <c r="AJ108" s="130"/>
    </row>
    <row r="109" spans="19:99" ht="12.75" customHeight="1">
      <c r="S109" s="130"/>
      <c r="AJ109" s="130"/>
    </row>
    <row r="110" spans="19:99" ht="12.75" customHeight="1">
      <c r="S110" s="130"/>
      <c r="AJ110" s="130"/>
    </row>
    <row r="111" spans="19:99" ht="12.75" customHeight="1">
      <c r="S111" s="130"/>
      <c r="AJ111" s="130"/>
    </row>
    <row r="112" spans="19:99" ht="12.75" customHeight="1">
      <c r="S112" s="130"/>
      <c r="AJ112" s="130"/>
    </row>
    <row r="113" spans="19:36" ht="12.75" customHeight="1">
      <c r="S113" s="130"/>
      <c r="AJ113" s="130"/>
    </row>
    <row r="114" spans="19:36" ht="12.75" customHeight="1">
      <c r="S114" s="130"/>
      <c r="AJ114" s="130"/>
    </row>
    <row r="115" spans="19:36" ht="12.75" customHeight="1">
      <c r="S115" s="130"/>
      <c r="AJ115" s="130"/>
    </row>
    <row r="116" spans="19:36" ht="12.75" customHeight="1">
      <c r="S116" s="130"/>
      <c r="AJ116" s="130"/>
    </row>
    <row r="117" spans="19:36" ht="12.75" customHeight="1">
      <c r="S117" s="130"/>
      <c r="AJ117" s="130"/>
    </row>
    <row r="118" spans="19:36" ht="12.75" customHeight="1">
      <c r="S118" s="130"/>
      <c r="AJ118" s="130"/>
    </row>
    <row r="119" spans="19:36" ht="12.75" customHeight="1">
      <c r="S119" s="130"/>
      <c r="AJ119" s="130"/>
    </row>
    <row r="120" spans="19:36" ht="12.75" customHeight="1">
      <c r="S120" s="130"/>
      <c r="AJ120" s="130"/>
    </row>
    <row r="121" spans="19:36" ht="12.75" customHeight="1">
      <c r="S121" s="130"/>
      <c r="AJ121" s="130"/>
    </row>
    <row r="122" spans="19:36" ht="12.75" customHeight="1">
      <c r="S122" s="130"/>
      <c r="AJ122" s="130"/>
    </row>
    <row r="123" spans="19:36" ht="12.75" customHeight="1">
      <c r="S123" s="130"/>
      <c r="AJ123" s="130"/>
    </row>
    <row r="124" spans="19:36" ht="12.75" customHeight="1">
      <c r="S124" s="130"/>
      <c r="AJ124" s="130"/>
    </row>
    <row r="125" spans="19:36" ht="12.75" customHeight="1">
      <c r="S125" s="130"/>
      <c r="AJ125" s="130"/>
    </row>
    <row r="126" spans="19:36" ht="12.75" customHeight="1">
      <c r="S126" s="130"/>
      <c r="AJ126" s="130"/>
    </row>
    <row r="127" spans="19:36" ht="12.75" customHeight="1">
      <c r="S127" s="130"/>
      <c r="AJ127" s="130"/>
    </row>
    <row r="128" spans="19:36" ht="12.75" customHeight="1">
      <c r="S128" s="130"/>
      <c r="AJ128" s="130"/>
    </row>
    <row r="129" spans="19:36" ht="12.75" customHeight="1">
      <c r="S129" s="130"/>
      <c r="AJ129" s="130"/>
    </row>
    <row r="130" spans="19:36" ht="12.75" customHeight="1">
      <c r="S130" s="130"/>
      <c r="AJ130" s="130"/>
    </row>
    <row r="131" spans="19:36" ht="12.75" customHeight="1">
      <c r="S131" s="130"/>
      <c r="AJ131" s="130"/>
    </row>
    <row r="132" spans="19:36" ht="12.75" customHeight="1">
      <c r="S132" s="130"/>
      <c r="AJ132" s="130"/>
    </row>
    <row r="133" spans="19:36" ht="12.75" customHeight="1">
      <c r="S133" s="130"/>
      <c r="AJ133" s="130"/>
    </row>
    <row r="134" spans="19:36" ht="12.75" customHeight="1">
      <c r="S134" s="130"/>
      <c r="AJ134" s="130"/>
    </row>
    <row r="135" spans="19:36" ht="12.75" customHeight="1">
      <c r="S135" s="130"/>
      <c r="AJ135" s="130"/>
    </row>
    <row r="136" spans="19:36" ht="12.75" customHeight="1">
      <c r="S136" s="130"/>
      <c r="AJ136" s="130"/>
    </row>
    <row r="137" spans="19:36" ht="12.75" customHeight="1">
      <c r="S137" s="130"/>
      <c r="AJ137" s="130"/>
    </row>
    <row r="138" spans="19:36" ht="12.75" customHeight="1">
      <c r="S138" s="130"/>
      <c r="AJ138" s="130"/>
    </row>
    <row r="139" spans="19:36" ht="12.75" customHeight="1">
      <c r="S139" s="130"/>
      <c r="AJ139" s="130"/>
    </row>
    <row r="140" spans="19:36" ht="12.75" customHeight="1">
      <c r="S140" s="130"/>
      <c r="AJ140" s="130"/>
    </row>
    <row r="141" spans="19:36" ht="12.75" customHeight="1">
      <c r="S141" s="130"/>
      <c r="AJ141" s="130"/>
    </row>
    <row r="142" spans="19:36" ht="12.75" customHeight="1">
      <c r="S142" s="130"/>
      <c r="AJ142" s="130"/>
    </row>
    <row r="143" spans="19:36" ht="12.75" customHeight="1">
      <c r="S143" s="130"/>
      <c r="AJ143" s="130"/>
    </row>
    <row r="144" spans="19:36" ht="12.75" customHeight="1">
      <c r="S144" s="130"/>
      <c r="AJ144" s="130"/>
    </row>
    <row r="145" spans="19:36" ht="12.75" customHeight="1">
      <c r="S145" s="130"/>
      <c r="AJ145" s="130"/>
    </row>
    <row r="146" spans="19:36" ht="12.75" customHeight="1">
      <c r="S146" s="130"/>
      <c r="AJ146" s="130"/>
    </row>
    <row r="147" spans="19:36" ht="12.75" customHeight="1">
      <c r="S147" s="130"/>
      <c r="AJ147" s="130"/>
    </row>
    <row r="148" spans="19:36" ht="12.75" customHeight="1">
      <c r="S148" s="130"/>
      <c r="AJ148" s="130"/>
    </row>
    <row r="149" spans="19:36" ht="12.75" customHeight="1">
      <c r="S149" s="130"/>
      <c r="T149" s="130"/>
      <c r="U149" s="130"/>
      <c r="V149" s="130"/>
      <c r="W149" s="130"/>
      <c r="X149" s="130"/>
      <c r="Y149" s="130"/>
      <c r="Z149" s="130"/>
      <c r="AA149" s="130"/>
      <c r="AB149" s="130"/>
      <c r="AC149" s="130"/>
      <c r="AD149" s="130"/>
      <c r="AE149" s="130"/>
      <c r="AF149" s="130"/>
      <c r="AG149" s="130"/>
      <c r="AH149" s="130"/>
      <c r="AI149" s="130"/>
      <c r="AJ149" s="130"/>
    </row>
    <row r="150" spans="19:36" ht="12.75" customHeight="1">
      <c r="S150" s="130"/>
      <c r="T150" s="130"/>
      <c r="U150" s="130"/>
      <c r="V150" s="130"/>
      <c r="W150" s="130"/>
      <c r="X150" s="130"/>
      <c r="Y150" s="130"/>
      <c r="Z150" s="130"/>
      <c r="AA150" s="130"/>
      <c r="AB150" s="130"/>
      <c r="AC150" s="130"/>
      <c r="AD150" s="130"/>
      <c r="AE150" s="130"/>
      <c r="AF150" s="130"/>
      <c r="AG150" s="130"/>
      <c r="AH150" s="130"/>
      <c r="AI150" s="130"/>
      <c r="AJ150" s="130"/>
    </row>
    <row r="151" spans="19:36" ht="13.5" customHeight="1"/>
    <row r="152" spans="19:36" ht="12.75" customHeight="1"/>
  </sheetData>
  <mergeCells count="134">
    <mergeCell ref="DL45:DM46"/>
    <mergeCell ref="CM50:CS50"/>
    <mergeCell ref="AQ86:BB87"/>
    <mergeCell ref="CH93:CI94"/>
    <mergeCell ref="CC96:CH96"/>
    <mergeCell ref="CK96:CR97"/>
    <mergeCell ref="BI97:BP97"/>
    <mergeCell ref="BI98:BP98"/>
    <mergeCell ref="BQ98:CB98"/>
    <mergeCell ref="CC98:CE98"/>
    <mergeCell ref="CF98:CH98"/>
    <mergeCell ref="CK98:CL98"/>
    <mergeCell ref="AQ78:AQ79"/>
    <mergeCell ref="BG80:BH81"/>
    <mergeCell ref="CP80:CR81"/>
    <mergeCell ref="CP83:CR83"/>
    <mergeCell ref="AQ84:AQ85"/>
    <mergeCell ref="BG84:BH85"/>
    <mergeCell ref="BY73:CC73"/>
    <mergeCell ref="CH73:CI74"/>
    <mergeCell ref="AZ55:BL55"/>
    <mergeCell ref="BR55:CI55"/>
    <mergeCell ref="BD53:BD54"/>
    <mergeCell ref="BE53:BE54"/>
    <mergeCell ref="BC75:BH76"/>
    <mergeCell ref="BY75:CC76"/>
    <mergeCell ref="CL75:CM76"/>
    <mergeCell ref="BR71:BS72"/>
    <mergeCell ref="BT71:BW72"/>
    <mergeCell ref="CH71:CI72"/>
    <mergeCell ref="CZ71:DA71"/>
    <mergeCell ref="CI60:CR61"/>
    <mergeCell ref="BL62:BV62"/>
    <mergeCell ref="BL63:BV64"/>
    <mergeCell ref="BW63:CH64"/>
    <mergeCell ref="CC60:CC61"/>
    <mergeCell ref="CD60:CD61"/>
    <mergeCell ref="CE60:CE61"/>
    <mergeCell ref="CF60:CF61"/>
    <mergeCell ref="CG60:CG61"/>
    <mergeCell ref="CH60:CH61"/>
    <mergeCell ref="BW60:BW61"/>
    <mergeCell ref="BX60:BX61"/>
    <mergeCell ref="BY60:BY61"/>
    <mergeCell ref="BZ60:BZ61"/>
    <mergeCell ref="CA60:CA61"/>
    <mergeCell ref="CB60:CB61"/>
    <mergeCell ref="B72:D74"/>
    <mergeCell ref="AV72:AW72"/>
    <mergeCell ref="AX72:BA72"/>
    <mergeCell ref="BC72:BH72"/>
    <mergeCell ref="BC73:BH73"/>
    <mergeCell ref="BY71:CC72"/>
    <mergeCell ref="CZ67:DA67"/>
    <mergeCell ref="AW68:BA68"/>
    <mergeCell ref="BQ68:BW69"/>
    <mergeCell ref="BY68:CC69"/>
    <mergeCell ref="AW69:BA69"/>
    <mergeCell ref="BC69:BH69"/>
    <mergeCell ref="CH69:CI70"/>
    <mergeCell ref="CZ69:DA69"/>
    <mergeCell ref="B65:D69"/>
    <mergeCell ref="CH66:CI68"/>
    <mergeCell ref="CZ73:DA73"/>
    <mergeCell ref="CN51:CS52"/>
    <mergeCell ref="F52:G52"/>
    <mergeCell ref="AZ52:BL52"/>
    <mergeCell ref="BR52:CI52"/>
    <mergeCell ref="F53:G53"/>
    <mergeCell ref="AO53:AR54"/>
    <mergeCell ref="AZ53:AZ54"/>
    <mergeCell ref="BA53:BA54"/>
    <mergeCell ref="BB53:BB54"/>
    <mergeCell ref="BC53:BC54"/>
    <mergeCell ref="BJ53:BJ54"/>
    <mergeCell ref="BK53:BK54"/>
    <mergeCell ref="BL53:BL54"/>
    <mergeCell ref="BR53:CI54"/>
    <mergeCell ref="BG53:BG54"/>
    <mergeCell ref="BH53:BH54"/>
    <mergeCell ref="BI53:BI54"/>
    <mergeCell ref="BF53:BF54"/>
    <mergeCell ref="N34:N35"/>
    <mergeCell ref="O34:O35"/>
    <mergeCell ref="C35:D35"/>
    <mergeCell ref="N36:O36"/>
    <mergeCell ref="N38:O38"/>
    <mergeCell ref="N41:O43"/>
    <mergeCell ref="B30:D30"/>
    <mergeCell ref="J30:L30"/>
    <mergeCell ref="B31:C31"/>
    <mergeCell ref="F31:H31"/>
    <mergeCell ref="J31:L31"/>
    <mergeCell ref="B32:D34"/>
    <mergeCell ref="J34:L37"/>
    <mergeCell ref="N25:O26"/>
    <mergeCell ref="B27:D27"/>
    <mergeCell ref="B28:D28"/>
    <mergeCell ref="J28:L28"/>
    <mergeCell ref="B29:C29"/>
    <mergeCell ref="K29:L29"/>
    <mergeCell ref="N16:O20"/>
    <mergeCell ref="K17:K19"/>
    <mergeCell ref="DY18:DZ18"/>
    <mergeCell ref="DY19:DZ19"/>
    <mergeCell ref="F21:H21"/>
    <mergeCell ref="N21:O23"/>
    <mergeCell ref="J22:L23"/>
    <mergeCell ref="F23:H23"/>
    <mergeCell ref="DY2:DZ2"/>
    <mergeCell ref="DT3:DX4"/>
    <mergeCell ref="DY3:DZ3"/>
    <mergeCell ref="B4:H4"/>
    <mergeCell ref="J4:L4"/>
    <mergeCell ref="N4:O4"/>
    <mergeCell ref="B13:C13"/>
    <mergeCell ref="D13:D14"/>
    <mergeCell ref="B14:C14"/>
    <mergeCell ref="C6:D6"/>
    <mergeCell ref="G6:H6"/>
    <mergeCell ref="J6:K6"/>
    <mergeCell ref="EC17:ED17"/>
    <mergeCell ref="EE17:EF17"/>
    <mergeCell ref="EI17:EJ17"/>
    <mergeCell ref="EK17:EL17"/>
    <mergeCell ref="N6:O6"/>
    <mergeCell ref="DT6:DX8"/>
    <mergeCell ref="J8:L9"/>
    <mergeCell ref="N8:O10"/>
    <mergeCell ref="C9:H9"/>
    <mergeCell ref="J10:L12"/>
    <mergeCell ref="C15:D15"/>
    <mergeCell ref="F15:H15"/>
    <mergeCell ref="F16:H18"/>
  </mergeCells>
  <phoneticPr fontId="2"/>
  <conditionalFormatting sqref="B32:D34">
    <cfRule type="expression" dxfId="36" priority="1">
      <formula>$C$26&gt;600000</formula>
    </cfRule>
  </conditionalFormatting>
  <conditionalFormatting sqref="C35:D35">
    <cfRule type="expression" dxfId="35" priority="3">
      <formula>$C$26&gt;600000</formula>
    </cfRule>
  </conditionalFormatting>
  <conditionalFormatting sqref="D29 D31">
    <cfRule type="expression" dxfId="34" priority="9">
      <formula>$C$26&gt;0</formula>
    </cfRule>
  </conditionalFormatting>
  <conditionalFormatting sqref="F52:G53">
    <cfRule type="expression" dxfId="32" priority="2">
      <formula>$C$26&gt;600000</formula>
    </cfRule>
  </conditionalFormatting>
  <conditionalFormatting sqref="K2">
    <cfRule type="expression" dxfId="30" priority="6">
      <formula>NOT(OR(LEN(K2)=13,LEN(K2)=0))</formula>
    </cfRule>
  </conditionalFormatting>
  <conditionalFormatting sqref="K13:K16 K20 K26:K27 K32:K33">
    <cfRule type="expression" dxfId="29" priority="11">
      <formula>AND($K$7=$M$56,$L$25=$J$54)</formula>
    </cfRule>
  </conditionalFormatting>
  <conditionalFormatting sqref="K17:K19">
    <cfRule type="expression" dxfId="28" priority="12">
      <formula>$K$7=$M$55</formula>
    </cfRule>
    <cfRule type="expression" dxfId="27" priority="13">
      <formula>$K$16=$M$59</formula>
    </cfRule>
  </conditionalFormatting>
  <conditionalFormatting sqref="K20 O29">
    <cfRule type="expression" dxfId="26" priority="7">
      <formula>$B$53=$B$55</formula>
    </cfRule>
  </conditionalFormatting>
  <conditionalFormatting sqref="K29">
    <cfRule type="expression" dxfId="25" priority="5">
      <formula>$K$27&gt;0</formula>
    </cfRule>
  </conditionalFormatting>
  <conditionalFormatting sqref="L25">
    <cfRule type="expression" dxfId="24" priority="10">
      <formula>$M$56=$M$57</formula>
    </cfRule>
  </conditionalFormatting>
  <conditionalFormatting sqref="N41">
    <cfRule type="expression" dxfId="23" priority="14">
      <formula>AND($O$37=$M$64,OR($O$12=$M$71,$O$14=$M$71,$O$15=$M$71))</formula>
    </cfRule>
  </conditionalFormatting>
  <conditionalFormatting sqref="O12:O15">
    <cfRule type="expression" dxfId="22" priority="15">
      <formula>$O$7=$M$56</formula>
    </cfRule>
  </conditionalFormatting>
  <conditionalFormatting sqref="O27:O33">
    <cfRule type="expression" dxfId="21" priority="16">
      <formula>OR($O$13=$M$56,$O$14=$M$56,$O$15=$M$56)</formula>
    </cfRule>
  </conditionalFormatting>
  <conditionalFormatting sqref="O34">
    <cfRule type="expression" dxfId="20" priority="17">
      <formula>AND(OR($O$13=$M$56,$O$14=$M$56,$O$15=$M$56),$O$33=$M$59)</formula>
    </cfRule>
  </conditionalFormatting>
  <conditionalFormatting sqref="O37">
    <cfRule type="expression" dxfId="19" priority="18">
      <formula>OR($O$12=$M$71,$O$14=$M$71,$O$15=$M$71)</formula>
    </cfRule>
  </conditionalFormatting>
  <dataValidations disablePrompts="1" count="13">
    <dataValidation type="list" allowBlank="1" showInputMessage="1" showErrorMessage="1" sqref="K7" xr:uid="{00000000-0002-0000-0300-000000000000}">
      <formula1>$M$55:$M$56</formula1>
    </dataValidation>
    <dataValidation type="list" imeMode="hiragana" allowBlank="1" showInputMessage="1" showErrorMessage="1" sqref="K16 O33" xr:uid="{00000000-0002-0000-0300-000001000000}">
      <formula1>$M$59:$M$60</formula1>
    </dataValidation>
    <dataValidation type="list" allowBlank="1" showInputMessage="1" showErrorMessage="1" sqref="O37" xr:uid="{00000000-0002-0000-0300-000002000000}">
      <formula1>$M$63:$M$64</formula1>
    </dataValidation>
    <dataValidation type="list" allowBlank="1" showInputMessage="1" showErrorMessage="1" sqref="O7 O12:O15" xr:uid="{00000000-0002-0000-0300-000003000000}">
      <formula1>$M$71:$M$72</formula1>
    </dataValidation>
    <dataValidation type="list" imeMode="hiragana" allowBlank="1" showInputMessage="1" showErrorMessage="1" sqref="O37" xr:uid="{00000000-0002-0000-0300-000004000000}">
      <formula1>$M$63:$M$64</formula1>
    </dataValidation>
    <dataValidation type="list" allowBlank="1" showInputMessage="1" showErrorMessage="1" sqref="C35:D35" xr:uid="{00000000-0002-0000-0300-000005000000}">
      <formula1>$F$52:$F$53</formula1>
    </dataValidation>
    <dataValidation type="list" allowBlank="1" showInputMessage="1" showErrorMessage="1" sqref="L25" xr:uid="{00000000-0002-0000-0300-000006000000}">
      <formula1>$J$54:$K$54</formula1>
    </dataValidation>
    <dataValidation type="list" allowBlank="1" showInputMessage="1" showErrorMessage="1" sqref="B14:C14" xr:uid="{00000000-0002-0000-0300-000009000000}">
      <formula1>$B$16:$B$22</formula1>
    </dataValidation>
    <dataValidation imeMode="on" allowBlank="1" showInputMessage="1" showErrorMessage="1" sqref="O27 O34 O31" xr:uid="{00000000-0002-0000-0300-00000A000000}"/>
    <dataValidation imeMode="fullKatakana" allowBlank="1" showInputMessage="1" showErrorMessage="1" sqref="K13 O28" xr:uid="{00000000-0002-0000-0300-00000B000000}"/>
    <dataValidation imeMode="off" allowBlank="1" showInputMessage="1" showErrorMessage="1" sqref="K15 O29:O30 O32" xr:uid="{00000000-0002-0000-0300-00000C000000}"/>
    <dataValidation imeMode="hiragana" allowBlank="1" showInputMessage="1" showErrorMessage="1" sqref="K14 K17:K19 N41:O43" xr:uid="{00000000-0002-0000-0300-00000D000000}"/>
    <dataValidation type="list" allowBlank="1" showInputMessage="1" showErrorMessage="1" sqref="K29:L29 D29" xr:uid="{00000000-0002-0000-0300-000007000000}">
      <formula1>#REF!</formula1>
    </dataValidation>
  </dataValidations>
  <pageMargins left="0.42" right="0.36" top="0.28000000000000003" bottom="0.17" header="0.3" footer="0.13"/>
  <pageSetup paperSize="9"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AD274D3-8724-47B9-AAEA-0322FB1EC4F6}">
            <xm:f>$D$64&lt;設定!$D$3</xm:f>
            <x14:dxf>
              <fill>
                <patternFill>
                  <bgColor theme="5" tint="0.59996337778862885"/>
                </patternFill>
              </fill>
            </x14:dxf>
          </x14:cfRule>
          <xm:sqref>F16 F19 H19 F20:H20</xm:sqref>
        </x14:conditionalFormatting>
        <x14:conditionalFormatting xmlns:xm="http://schemas.microsoft.com/office/excel/2006/main">
          <x14:cfRule type="expression" priority="8" id="{0C62710C-DBC1-4FEB-A4BD-5A5058376135}">
            <xm:f>AND($B$60=$B$62,$D$64&gt;設定!$D$3)</xm:f>
            <x14:dxf>
              <fill>
                <patternFill patternType="lightHorizontal">
                  <bgColor auto="1"/>
                </patternFill>
              </fill>
            </x14:dxf>
          </x14:cfRule>
          <xm:sqref>G19</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E83"/>
  <sheetViews>
    <sheetView zoomScale="90" zoomScaleNormal="90" workbookViewId="0">
      <pane xSplit="3" ySplit="6" topLeftCell="D7" activePane="bottomRight" state="frozen"/>
      <selection pane="topRight" activeCell="D1" sqref="D1"/>
      <selection pane="bottomLeft" activeCell="A7" sqref="A7"/>
      <selection pane="bottomRight" activeCell="M1" sqref="M1"/>
    </sheetView>
  </sheetViews>
  <sheetFormatPr defaultRowHeight="13.5"/>
  <cols>
    <col min="1" max="1" width="5.75" customWidth="1"/>
    <col min="2" max="2" width="13.625" customWidth="1"/>
    <col min="3" max="3" width="9.625" customWidth="1"/>
    <col min="4" max="13" width="7.125" customWidth="1"/>
    <col min="14" max="14" width="9.625" customWidth="1"/>
    <col min="15" max="15" width="8" customWidth="1"/>
    <col min="16" max="17" width="10" customWidth="1"/>
    <col min="18" max="19" width="13" customWidth="1"/>
    <col min="20" max="20" width="8.375" customWidth="1"/>
    <col min="21" max="22" width="10" customWidth="1"/>
    <col min="23" max="29" width="6.25" customWidth="1"/>
    <col min="30" max="30" width="3.875" hidden="1" customWidth="1"/>
    <col min="31" max="34" width="10" customWidth="1"/>
    <col min="35" max="35" width="9.125" customWidth="1"/>
    <col min="36" max="36" width="10.5" customWidth="1"/>
    <col min="37" max="37" width="6.75" customWidth="1"/>
    <col min="38" max="38" width="8.5" customWidth="1"/>
    <col min="39" max="39" width="10.625" customWidth="1"/>
    <col min="40" max="60" width="10.125" customWidth="1"/>
  </cols>
  <sheetData>
    <row r="1" spans="1:57" ht="15" customHeight="1">
      <c r="A1" s="902" t="s">
        <v>398</v>
      </c>
      <c r="B1" s="903"/>
      <c r="C1" s="904"/>
      <c r="N1" t="s">
        <v>409</v>
      </c>
      <c r="O1" s="339"/>
      <c r="W1" s="568" t="s">
        <v>393</v>
      </c>
    </row>
    <row r="2" spans="1:57" ht="15" customHeight="1" thickBot="1">
      <c r="A2" s="905"/>
      <c r="B2" s="906"/>
      <c r="C2" s="907"/>
      <c r="O2" s="542" t="s">
        <v>415</v>
      </c>
      <c r="P2" s="543"/>
      <c r="Q2" s="543"/>
      <c r="R2" s="543"/>
      <c r="S2" s="543"/>
      <c r="T2" s="543"/>
      <c r="U2" s="543"/>
      <c r="V2" s="544"/>
      <c r="X2" s="120"/>
    </row>
    <row r="3" spans="1:57" ht="15" customHeight="1" thickBot="1">
      <c r="A3" s="905"/>
      <c r="B3" s="906"/>
      <c r="C3" s="907"/>
      <c r="D3" s="540" t="s">
        <v>385</v>
      </c>
      <c r="E3" s="540" t="s">
        <v>385</v>
      </c>
      <c r="F3" s="540" t="s">
        <v>385</v>
      </c>
      <c r="G3" s="540" t="s">
        <v>385</v>
      </c>
      <c r="H3" s="540" t="s">
        <v>385</v>
      </c>
      <c r="I3" s="540" t="s">
        <v>385</v>
      </c>
      <c r="J3" s="540" t="s">
        <v>385</v>
      </c>
      <c r="K3" s="540" t="s">
        <v>385</v>
      </c>
      <c r="L3" s="540" t="s">
        <v>385</v>
      </c>
      <c r="M3" s="540" t="s">
        <v>385</v>
      </c>
      <c r="O3" s="565" t="s">
        <v>452</v>
      </c>
      <c r="P3" s="545"/>
      <c r="Q3" s="545"/>
      <c r="R3" s="545"/>
      <c r="S3" s="545"/>
      <c r="T3" s="546"/>
      <c r="U3" s="546"/>
      <c r="V3" s="547"/>
      <c r="AE3" s="535" t="s">
        <v>386</v>
      </c>
      <c r="AF3" s="536"/>
      <c r="AG3" s="536"/>
      <c r="AH3" s="537"/>
      <c r="AW3" s="41"/>
      <c r="AX3" s="4"/>
      <c r="BA3" s="12"/>
    </row>
    <row r="4" spans="1:57" ht="15" customHeight="1" thickBot="1">
      <c r="A4" s="905"/>
      <c r="B4" s="906"/>
      <c r="C4" s="907"/>
      <c r="D4" s="540"/>
      <c r="E4" s="540"/>
      <c r="F4" s="540"/>
      <c r="G4" s="540"/>
      <c r="H4" s="540"/>
      <c r="I4" s="540"/>
      <c r="J4" s="540"/>
      <c r="K4" s="540"/>
      <c r="L4" s="540"/>
      <c r="M4" s="540"/>
      <c r="N4" s="566" t="s">
        <v>407</v>
      </c>
      <c r="O4" s="567" t="s">
        <v>408</v>
      </c>
      <c r="P4" s="409"/>
      <c r="Q4" s="576" t="s">
        <v>53</v>
      </c>
      <c r="R4" s="2" t="s">
        <v>107</v>
      </c>
      <c r="S4" s="2"/>
      <c r="T4" s="409"/>
      <c r="U4" s="2" t="s">
        <v>107</v>
      </c>
      <c r="V4" s="2" t="s">
        <v>107</v>
      </c>
      <c r="W4" s="2" t="s">
        <v>107</v>
      </c>
      <c r="X4" s="540" t="s">
        <v>385</v>
      </c>
      <c r="Y4" s="540" t="s">
        <v>385</v>
      </c>
      <c r="Z4" s="540" t="s">
        <v>385</v>
      </c>
      <c r="AA4" s="540" t="s">
        <v>385</v>
      </c>
      <c r="AB4" s="540" t="s">
        <v>385</v>
      </c>
      <c r="AC4" s="540"/>
      <c r="AD4" s="540" t="s">
        <v>385</v>
      </c>
      <c r="AE4" s="137" t="s">
        <v>107</v>
      </c>
      <c r="AF4" s="2" t="s">
        <v>107</v>
      </c>
      <c r="AG4" s="869" t="s">
        <v>388</v>
      </c>
      <c r="AH4" s="870"/>
      <c r="AW4" s="41"/>
      <c r="AX4" s="4"/>
      <c r="BA4" s="12"/>
    </row>
    <row r="5" spans="1:57" s="2" customFormat="1" ht="15" customHeight="1" thickBot="1">
      <c r="A5" s="905"/>
      <c r="B5" s="906"/>
      <c r="C5" s="907"/>
      <c r="D5" s="541" t="s">
        <v>422</v>
      </c>
      <c r="E5" s="541"/>
      <c r="F5" s="541"/>
      <c r="G5" s="541" t="s">
        <v>422</v>
      </c>
      <c r="H5" s="541"/>
      <c r="I5" s="541"/>
      <c r="K5" s="541" t="s">
        <v>423</v>
      </c>
      <c r="L5" s="541"/>
      <c r="M5" s="541"/>
      <c r="N5" s="512" t="s">
        <v>410</v>
      </c>
      <c r="O5" s="453" t="s">
        <v>0</v>
      </c>
      <c r="P5" s="513" t="s">
        <v>400</v>
      </c>
      <c r="Q5" s="517" t="s">
        <v>397</v>
      </c>
      <c r="R5" s="214" t="s">
        <v>153</v>
      </c>
      <c r="S5" s="214" t="s">
        <v>56</v>
      </c>
      <c r="T5" s="214" t="s">
        <v>456</v>
      </c>
      <c r="U5" s="214" t="s">
        <v>59</v>
      </c>
      <c r="V5" s="214" t="s">
        <v>64</v>
      </c>
      <c r="W5" s="502" t="s">
        <v>120</v>
      </c>
      <c r="X5" s="881" t="s">
        <v>82</v>
      </c>
      <c r="Y5" s="882"/>
      <c r="Z5" s="882"/>
      <c r="AA5" s="882"/>
      <c r="AB5" s="883"/>
      <c r="AC5" s="137"/>
      <c r="AD5" s="137"/>
      <c r="AE5" s="538" t="s">
        <v>416</v>
      </c>
      <c r="AF5" s="41" t="s">
        <v>416</v>
      </c>
      <c r="AG5" s="41" t="s">
        <v>420</v>
      </c>
      <c r="AH5" s="539" t="s">
        <v>420</v>
      </c>
      <c r="AI5" s="41"/>
      <c r="AP5" s="16" t="s">
        <v>401</v>
      </c>
      <c r="AQ5" s="47"/>
      <c r="AR5" s="47"/>
      <c r="AS5" s="47"/>
      <c r="AT5" s="47"/>
      <c r="AU5" s="47"/>
      <c r="AV5" s="47"/>
      <c r="AW5" s="47"/>
      <c r="AX5" s="522" t="s">
        <v>27</v>
      </c>
      <c r="AY5" s="110">
        <f ca="1">MIN(AY6,AW36+AV30+AW12)</f>
        <v>120000</v>
      </c>
      <c r="AZ5"/>
      <c r="BA5"/>
      <c r="BB5" s="12"/>
      <c r="BC5"/>
      <c r="BD5"/>
      <c r="BE5"/>
    </row>
    <row r="6" spans="1:57" s="2" customFormat="1" ht="15" customHeight="1" thickBot="1">
      <c r="A6" s="908" t="str">
        <f ca="1">IF(P32=X32,"-","入力に異常あり")</f>
        <v>-</v>
      </c>
      <c r="B6" s="909"/>
      <c r="C6" s="910"/>
      <c r="D6" s="622" t="s">
        <v>29</v>
      </c>
      <c r="E6" s="407" t="s">
        <v>83</v>
      </c>
      <c r="F6" s="408" t="s">
        <v>84</v>
      </c>
      <c r="G6" s="407" t="s">
        <v>29</v>
      </c>
      <c r="H6" s="407" t="s">
        <v>83</v>
      </c>
      <c r="I6" s="452" t="s">
        <v>84</v>
      </c>
      <c r="K6" s="407" t="s">
        <v>29</v>
      </c>
      <c r="L6" s="407" t="s">
        <v>83</v>
      </c>
      <c r="M6" s="408" t="s">
        <v>84</v>
      </c>
      <c r="N6" s="503" t="s">
        <v>526</v>
      </c>
      <c r="O6" s="454" t="s">
        <v>2</v>
      </c>
      <c r="P6" s="514" t="s">
        <v>399</v>
      </c>
      <c r="Q6" s="518" t="s">
        <v>395</v>
      </c>
      <c r="R6" s="355" t="s">
        <v>55</v>
      </c>
      <c r="S6" s="355" t="s">
        <v>57</v>
      </c>
      <c r="T6" s="417" t="s">
        <v>455</v>
      </c>
      <c r="U6" s="355" t="s">
        <v>60</v>
      </c>
      <c r="V6" s="355" t="s">
        <v>61</v>
      </c>
      <c r="W6" s="504" t="s">
        <v>65</v>
      </c>
      <c r="X6" s="527" t="s">
        <v>413</v>
      </c>
      <c r="Y6" s="528" t="s">
        <v>411</v>
      </c>
      <c r="Z6" s="526" t="s">
        <v>101</v>
      </c>
      <c r="AA6" s="529" t="s">
        <v>414</v>
      </c>
      <c r="AB6" s="530" t="s">
        <v>412</v>
      </c>
      <c r="AC6" s="138"/>
      <c r="AD6" s="138" t="s">
        <v>402</v>
      </c>
      <c r="AE6" s="418" t="s">
        <v>417</v>
      </c>
      <c r="AF6" s="52" t="s">
        <v>418</v>
      </c>
      <c r="AG6" s="52" t="s">
        <v>419</v>
      </c>
      <c r="AH6" s="419" t="s">
        <v>421</v>
      </c>
      <c r="AI6" s="41"/>
      <c r="AJ6" s="4" t="s">
        <v>155</v>
      </c>
      <c r="AK6" s="148" t="s">
        <v>173</v>
      </c>
      <c r="AL6" s="148"/>
      <c r="AM6" s="148"/>
      <c r="AN6" s="148"/>
      <c r="AP6" s="22"/>
      <c r="AQ6" s="347"/>
      <c r="AR6" s="347"/>
      <c r="AS6" s="49"/>
      <c r="AT6" s="49"/>
      <c r="AU6" s="49"/>
      <c r="AV6" s="347"/>
      <c r="AW6" s="26"/>
      <c r="AX6" s="26" t="s">
        <v>4</v>
      </c>
      <c r="AY6" s="499">
        <v>120000</v>
      </c>
      <c r="AZ6"/>
      <c r="BA6"/>
      <c r="BB6" s="12"/>
      <c r="BC6"/>
      <c r="BD6"/>
      <c r="BE6"/>
    </row>
    <row r="7" spans="1:57" ht="17.25" customHeight="1">
      <c r="A7" s="871" t="s">
        <v>425</v>
      </c>
      <c r="B7" s="872"/>
      <c r="C7" s="873"/>
      <c r="D7" s="31">
        <f ca="1">IF(AND(D$6=$N7,$P7&lt;&gt;0),MAX(D$6:OFFSET(D7,-1,0))+1,"")</f>
        <v>1</v>
      </c>
      <c r="E7" s="31" t="str">
        <f ca="1">IF(AND(E$6=$N7,$P7&lt;&gt;0),MAX(E$6:OFFSET(E7,-1,0))+1,"")</f>
        <v/>
      </c>
      <c r="F7" s="31" t="str">
        <f ca="1">IF(AND(F$6=$N7,$P7&lt;&gt;0),MAX(F$6:OFFSET(F7,-1,0))+1,"")</f>
        <v/>
      </c>
      <c r="G7" s="25">
        <f t="shared" ref="G7:G8" ca="1" si="0">IF(SUM(D7)&gt;0,$P7,"")</f>
        <v>12345</v>
      </c>
      <c r="H7" s="25" t="str">
        <f t="shared" ref="H7:H8" ca="1" si="1">IF(SUM(E7)&gt;0,$P7,"")</f>
        <v/>
      </c>
      <c r="I7" s="25" t="str">
        <f t="shared" ref="I7:I8" ca="1" si="2">IF(SUM(F7)&gt;0,$P7,"")</f>
        <v/>
      </c>
      <c r="K7" s="25">
        <f ca="1">IF(LEN($Q7)&gt;3,"",IF(SUM(D7)&gt;0,D7,IF(AND(SUM(D8)&gt;0,$Q8=$Q$52),D8,IF(AND(SUM(D9)&gt;0,$Q9=$Q$53),D9,""))))</f>
        <v>1</v>
      </c>
      <c r="L7" s="25" t="str">
        <f ca="1">IF(LEN($Q7)&gt;3,"",IF(SUM(E7)&gt;0,E7,IF(AND(SUM(E8)&gt;0,$Q8=$Q$52),E8,IF(AND(SUM(E9)&gt;0,$Q9=$Q$53),E9,""))))</f>
        <v/>
      </c>
      <c r="M7" s="20" t="str">
        <f ca="1">IF(LEN($Q7)&gt;3,"",IF(SUM(F7)&gt;0,F7,IF(AND(SUM(F8)&gt;0,$Q8=$Q$52),F8,IF(AND(SUM(F9)&gt;0,$Q9=$Q$53),F9,""))))</f>
        <v/>
      </c>
      <c r="N7" s="136" t="s">
        <v>29</v>
      </c>
      <c r="O7" s="121" t="s">
        <v>0</v>
      </c>
      <c r="P7" s="515">
        <v>12345</v>
      </c>
      <c r="Q7" s="519"/>
      <c r="R7" s="121" t="s">
        <v>520</v>
      </c>
      <c r="S7" s="121" t="s">
        <v>513</v>
      </c>
      <c r="T7" s="121">
        <v>99</v>
      </c>
      <c r="U7" s="121" t="s">
        <v>502</v>
      </c>
      <c r="V7" s="121" t="s">
        <v>514</v>
      </c>
      <c r="W7" s="505" t="s">
        <v>515</v>
      </c>
      <c r="X7" s="524" t="str">
        <f ca="1">IF(LEN($Q7)&gt;3,"",IF(SUM(G7)&lt;&gt;0,O7,IF(AND(SUM(G8)&lt;&gt;0,$Q8=$Q$52),O8,IF(AND(SUM(G9)&lt;&gt;0,$Q9=$Q$53),O9,""))))</f>
        <v>新</v>
      </c>
      <c r="Y7" s="524">
        <f ca="1">IF(LEN($Q7)&gt;3,"",IF(SUM(G7)&lt;&gt;0,G7,IF(AND(SUM(G8)&lt;&gt;0,$Q8=$Q$52),G8,IF(AND(SUM(G9)&lt;&gt;0,$Q9=$Q$53),G9,""))))</f>
        <v>12345</v>
      </c>
      <c r="Z7" s="525" t="str">
        <f ca="1">IF(LEN($Q7)&gt;3,"",IF(SUM(H7)&lt;&gt;0,H7,IF(AND(SUM(H8)&lt;&gt;0,$Q8=$Q$52),H8,IF(AND(SUM(H9)&lt;&gt;0,$Q9=$Q$53),H9,""))))</f>
        <v/>
      </c>
      <c r="AA7" s="523" t="str">
        <f ca="1">IF(LEN($Q7)&gt;3,"",IF(SUM(I7)&lt;&gt;0,O7,IF(AND(SUM(I8)&lt;&gt;0,$Q8=$Q$52),O8,IF(AND(SUM(I9)&lt;&gt;0,$Q9=$Q$53),O9,""))))</f>
        <v/>
      </c>
      <c r="AB7" s="523" t="str">
        <f ca="1">IF(LEN($Q7)&gt;3,"",IF(SUM(I7)&lt;&gt;0,I7,IF(AND(SUM(I8)&lt;&gt;0,$Q8=$Q$52),I8,IF(AND(SUM(I9)&lt;&gt;0,$Q9=$Q$53),I9,""))))</f>
        <v/>
      </c>
      <c r="AC7" s="139" t="str">
        <f t="shared" ref="AC7:AC26" ca="1" si="3">IF(SUM(F7)&gt;0,"⇒","")</f>
        <v/>
      </c>
      <c r="AD7" s="139" t="str">
        <f t="shared" ref="AD7:AD26" ca="1" si="4">F7</f>
        <v/>
      </c>
      <c r="AE7" s="136"/>
      <c r="AF7" s="121"/>
      <c r="AG7" s="121"/>
      <c r="AH7" s="140"/>
      <c r="AI7" s="500">
        <f t="shared" ref="AI7:AI26" ca="1" si="5">IF(LEN(Q7)&gt;2,AI6,IF(SUM(K7:M7)&gt;0,AI6+1,""))</f>
        <v>1</v>
      </c>
      <c r="AJ7" s="2" t="str">
        <f t="shared" ref="AJ7:AJ26" ca="1" si="6">IF(SUM(D7:F7)&gt;0,"生"&amp;AI7,"")</f>
        <v>生1</v>
      </c>
      <c r="AK7" s="2">
        <f t="shared" ref="AK7:AK26" ca="1" si="7">IF(SUM(K7,M7)&gt;0,1,0)</f>
        <v>1</v>
      </c>
      <c r="AL7" s="2"/>
      <c r="AM7" s="2"/>
      <c r="AN7" s="2"/>
      <c r="AO7" s="2"/>
      <c r="AP7" s="470" t="s">
        <v>387</v>
      </c>
      <c r="AQ7" s="470"/>
      <c r="AR7" s="470"/>
      <c r="AS7" s="470"/>
      <c r="AT7" s="470"/>
      <c r="AU7" s="470"/>
      <c r="AV7" s="470"/>
      <c r="AW7" s="470"/>
      <c r="AX7" s="470"/>
      <c r="AY7" s="470"/>
      <c r="BB7" s="12"/>
    </row>
    <row r="8" spans="1:57" ht="17.25" customHeight="1">
      <c r="A8" s="901" t="s">
        <v>404</v>
      </c>
      <c r="B8" s="875" t="str">
        <f ca="1">IF(AY5=AY6,AP5,IF(AW12=AV18,AP9,IF(AW11=AY11,AP8,AP7)))</f>
        <v>●生命保険料控除の限度を超えました。　どの種類も　これ以上入力しても控除額は増えません。</v>
      </c>
      <c r="C8" s="876"/>
      <c r="D8" s="31">
        <f ca="1">IF(AND(D$6=$N8,$P8&lt;&gt;0),MAX(D$6:OFFSET(D8,-1,0))+1,"")</f>
        <v>2</v>
      </c>
      <c r="E8" s="31" t="str">
        <f ca="1">IF(AND(E$6=$N8,$P8&lt;&gt;0),MAX(E$6:OFFSET(E8,-1,0))+1,"")</f>
        <v/>
      </c>
      <c r="F8" s="31" t="str">
        <f ca="1">IF(AND(F$6=$N8,$P8&lt;&gt;0),MAX(F$6:OFFSET(F8,-1,0))+1,"")</f>
        <v/>
      </c>
      <c r="G8" s="25">
        <f t="shared" ca="1" si="0"/>
        <v>80000</v>
      </c>
      <c r="H8" s="25" t="str">
        <f t="shared" ca="1" si="1"/>
        <v/>
      </c>
      <c r="I8" s="25" t="str">
        <f t="shared" ca="1" si="2"/>
        <v/>
      </c>
      <c r="K8" s="25">
        <f t="shared" ref="K8:M8" ca="1" si="8">IF(LEN($Q8)&gt;3,"",IF(SUM(D8)&gt;0,D8,IF(AND(SUM(D9)&gt;0,$Q9=$Q$52),D9,IF(AND(SUM(D10)&gt;0,$Q10=$Q$53),D10,""))))</f>
        <v>2</v>
      </c>
      <c r="L8" s="25">
        <f t="shared" ca="1" si="8"/>
        <v>1</v>
      </c>
      <c r="M8" s="20">
        <f t="shared" ca="1" si="8"/>
        <v>1</v>
      </c>
      <c r="N8" s="136" t="s">
        <v>29</v>
      </c>
      <c r="O8" s="121" t="s">
        <v>2</v>
      </c>
      <c r="P8" s="515">
        <v>80000</v>
      </c>
      <c r="Q8" s="575"/>
      <c r="R8" s="121" t="s">
        <v>519</v>
      </c>
      <c r="S8" s="121" t="s">
        <v>517</v>
      </c>
      <c r="T8" s="121">
        <v>1</v>
      </c>
      <c r="U8" s="121" t="s">
        <v>479</v>
      </c>
      <c r="V8" s="121" t="s">
        <v>502</v>
      </c>
      <c r="W8" s="505" t="s">
        <v>518</v>
      </c>
      <c r="X8" s="524" t="str">
        <f t="shared" ref="X8:X26" ca="1" si="9">IF(LEN($Q8)&gt;3,"",IF(SUM(G8)&lt;&gt;0,O8,IF(AND(SUM(G9)&lt;&gt;0,$Q9=$Q$52),O9,IF(AND(SUM(G10)&lt;&gt;0,$Q10=$Q$53),O10,""))))</f>
        <v>旧</v>
      </c>
      <c r="Y8" s="524">
        <f t="shared" ref="Y8:Z8" ca="1" si="10">IF(LEN($Q8)&gt;3,"",IF(SUM(G8)&lt;&gt;0,G8,IF(AND(SUM(G9)&lt;&gt;0,$Q9=$Q$52),G9,IF(AND(SUM(G10)&lt;&gt;0,$Q10=$Q$53),G10,""))))</f>
        <v>80000</v>
      </c>
      <c r="Z8" s="525">
        <f t="shared" ca="1" si="10"/>
        <v>150000</v>
      </c>
      <c r="AA8" s="523" t="str">
        <f t="shared" ref="AA8:AA26" ca="1" si="11">IF(LEN($Q8)&gt;3,"",IF(SUM(I8)&lt;&gt;0,O8,IF(AND(SUM(I9)&lt;&gt;0,$Q9=$Q$52),O9,IF(AND(SUM(I10)&lt;&gt;0,$Q10=$Q$53),O10,""))))</f>
        <v>新</v>
      </c>
      <c r="AB8" s="523">
        <f t="shared" ref="AB8:AB26" ca="1" si="12">IF(LEN($Q8)&gt;3,"",IF(SUM(I8)&lt;&gt;0,I8,IF(AND(SUM(I9)&lt;&gt;0,$Q9=$Q$52),I9,IF(AND(SUM(I10)&lt;&gt;0,$Q10=$Q$53),I10,""))))</f>
        <v>50000</v>
      </c>
      <c r="AC8" s="139" t="str">
        <f t="shared" ca="1" si="3"/>
        <v/>
      </c>
      <c r="AD8" s="139" t="str">
        <f t="shared" ca="1" si="4"/>
        <v/>
      </c>
      <c r="AE8" s="136"/>
      <c r="AF8" s="121"/>
      <c r="AG8" s="121"/>
      <c r="AH8" s="140"/>
      <c r="AI8" s="500">
        <f t="shared" ca="1" si="5"/>
        <v>2</v>
      </c>
      <c r="AJ8" s="2" t="str">
        <f t="shared" ca="1" si="6"/>
        <v>生2</v>
      </c>
      <c r="AK8" s="2">
        <f t="shared" ca="1" si="7"/>
        <v>1</v>
      </c>
      <c r="AL8" s="2"/>
      <c r="AM8" s="2"/>
      <c r="AN8" s="2"/>
      <c r="AO8" s="2"/>
      <c r="AP8" s="470" t="s">
        <v>389</v>
      </c>
      <c r="AQ8" s="470"/>
      <c r="AR8" s="470"/>
      <c r="AS8" s="470"/>
      <c r="AT8" s="470"/>
      <c r="AU8" s="470"/>
      <c r="AV8" s="470"/>
      <c r="AW8" s="470"/>
      <c r="AX8" s="470"/>
      <c r="AY8" s="470"/>
      <c r="BB8" s="12"/>
    </row>
    <row r="9" spans="1:57" ht="17.25" customHeight="1">
      <c r="A9" s="901"/>
      <c r="B9" s="877"/>
      <c r="C9" s="878"/>
      <c r="D9" s="31" t="str">
        <f ca="1">IF(AND(D$6=$N9,$P9&lt;&gt;0),MAX(D$6:OFFSET(D9,-1,0))+1,"")</f>
        <v/>
      </c>
      <c r="E9" s="31" t="str">
        <f ca="1">IF(AND(E$6=$N9,$P9&lt;&gt;0),MAX(E$6:OFFSET(E9,-1,0))+1,"")</f>
        <v/>
      </c>
      <c r="F9" s="31">
        <f ca="1">IF(AND(F$6=$N9,$P9&lt;&gt;0),MAX(F$6:OFFSET(F9,-1,0))+1,"")</f>
        <v>1</v>
      </c>
      <c r="G9" s="25" t="str">
        <f t="shared" ref="G9" ca="1" si="13">IF(SUM(D9)&gt;0,$P9,"")</f>
        <v/>
      </c>
      <c r="H9" s="25" t="str">
        <f ca="1">IF(SUM(E9)&gt;0,$P9,"")</f>
        <v/>
      </c>
      <c r="I9" s="25">
        <f t="shared" ref="I9" ca="1" si="14">IF(SUM(F9)&gt;0,$P9,"")</f>
        <v>50000</v>
      </c>
      <c r="K9" s="25" t="str">
        <f t="shared" ref="K9:M9" si="15">IF(LEN($Q9)&gt;3,"",IF(SUM(D9)&gt;0,D9,IF(AND(SUM(D10)&gt;0,$Q10=$Q$52),D10,IF(AND(SUM(D11)&gt;0,$Q11=$Q$53),D11,""))))</f>
        <v/>
      </c>
      <c r="L9" s="25" t="str">
        <f t="shared" si="15"/>
        <v/>
      </c>
      <c r="M9" s="20" t="str">
        <f t="shared" si="15"/>
        <v/>
      </c>
      <c r="N9" s="136" t="s">
        <v>84</v>
      </c>
      <c r="O9" s="121" t="s">
        <v>0</v>
      </c>
      <c r="P9" s="515">
        <v>50000</v>
      </c>
      <c r="Q9" s="575" t="s">
        <v>543</v>
      </c>
      <c r="R9" s="121"/>
      <c r="S9" s="121"/>
      <c r="T9" s="121"/>
      <c r="U9" s="121"/>
      <c r="V9" s="121"/>
      <c r="W9" s="505"/>
      <c r="X9" s="524" t="str">
        <f t="shared" si="9"/>
        <v/>
      </c>
      <c r="Y9" s="524" t="str">
        <f t="shared" ref="Y9:Z9" si="16">IF(LEN($Q9)&gt;3,"",IF(SUM(G9)&lt;&gt;0,G9,IF(AND(SUM(G10)&lt;&gt;0,$Q10=$Q$52),G10,IF(AND(SUM(G11)&lt;&gt;0,$Q11=$Q$53),G11,""))))</f>
        <v/>
      </c>
      <c r="Z9" s="525" t="str">
        <f t="shared" si="16"/>
        <v/>
      </c>
      <c r="AA9" s="523" t="str">
        <f t="shared" si="11"/>
        <v/>
      </c>
      <c r="AB9" s="523" t="str">
        <f t="shared" si="12"/>
        <v/>
      </c>
      <c r="AC9" s="139" t="str">
        <f t="shared" ca="1" si="3"/>
        <v>⇒</v>
      </c>
      <c r="AD9" s="139">
        <f t="shared" ca="1" si="4"/>
        <v>1</v>
      </c>
      <c r="AE9" s="136"/>
      <c r="AF9" s="121"/>
      <c r="AG9" s="121"/>
      <c r="AH9" s="140"/>
      <c r="AI9" s="500">
        <f t="shared" ca="1" si="5"/>
        <v>2</v>
      </c>
      <c r="AJ9" s="2" t="str">
        <f t="shared" ca="1" si="6"/>
        <v>生2</v>
      </c>
      <c r="AK9" s="2">
        <f t="shared" si="7"/>
        <v>0</v>
      </c>
      <c r="AL9" s="2"/>
      <c r="AM9" s="2"/>
      <c r="AN9" s="2"/>
      <c r="AO9" s="2"/>
      <c r="AP9" s="470" t="s">
        <v>327</v>
      </c>
      <c r="AQ9" s="470"/>
      <c r="AR9" s="470"/>
      <c r="AS9" s="470"/>
      <c r="AT9" s="470"/>
      <c r="AU9" s="470"/>
      <c r="AV9" s="470"/>
      <c r="AW9" s="470"/>
      <c r="AX9" s="470"/>
      <c r="AY9" s="470"/>
      <c r="BB9" s="12"/>
    </row>
    <row r="10" spans="1:57" ht="17.25" customHeight="1">
      <c r="A10" s="901"/>
      <c r="B10" s="879"/>
      <c r="C10" s="880"/>
      <c r="D10" s="31" t="str">
        <f ca="1">IF(AND(D$6=$N10,$P10&lt;&gt;0),MAX(D$6:OFFSET(D10,-1,0))+1,"")</f>
        <v/>
      </c>
      <c r="E10" s="31">
        <f ca="1">IF(AND(E$6=$N10,$P10&lt;&gt;0),MAX(E$6:OFFSET(E10,-1,0))+1,"")</f>
        <v>1</v>
      </c>
      <c r="F10" s="31" t="str">
        <f ca="1">IF(AND(F$6=$N10,$P10&lt;&gt;0),MAX(F$6:OFFSET(F10,-1,0))+1,"")</f>
        <v/>
      </c>
      <c r="G10" s="25" t="str">
        <f t="shared" ref="G10:G26" ca="1" si="17">IF(SUM(D10)&gt;0,$P10,"")</f>
        <v/>
      </c>
      <c r="H10" s="25">
        <f t="shared" ref="H10:H26" ca="1" si="18">IF(SUM(E10)&gt;0,$P10,"")</f>
        <v>150000</v>
      </c>
      <c r="I10" s="25" t="str">
        <f t="shared" ref="I10:I26" ca="1" si="19">IF(SUM(F10)&gt;0,$P10,"")</f>
        <v/>
      </c>
      <c r="K10" s="25" t="str">
        <f t="shared" ref="K10:M10" si="20">IF(LEN($Q10)&gt;3,"",IF(SUM(D10)&gt;0,D10,IF(AND(SUM(D11)&gt;0,$Q11=$Q$52),D11,IF(AND(SUM(D12)&gt;0,$Q12=$Q$53),D12,""))))</f>
        <v/>
      </c>
      <c r="L10" s="25" t="str">
        <f t="shared" si="20"/>
        <v/>
      </c>
      <c r="M10" s="20" t="str">
        <f t="shared" si="20"/>
        <v/>
      </c>
      <c r="N10" s="136" t="s">
        <v>394</v>
      </c>
      <c r="O10" s="121" t="s">
        <v>2</v>
      </c>
      <c r="P10" s="515">
        <v>150000</v>
      </c>
      <c r="Q10" s="575" t="s">
        <v>396</v>
      </c>
      <c r="R10" s="121"/>
      <c r="S10" s="121"/>
      <c r="T10" s="121"/>
      <c r="U10" s="121"/>
      <c r="V10" s="121"/>
      <c r="W10" s="505"/>
      <c r="X10" s="524" t="str">
        <f t="shared" si="9"/>
        <v/>
      </c>
      <c r="Y10" s="524" t="str">
        <f t="shared" ref="Y10:Z10" si="21">IF(LEN($Q10)&gt;3,"",IF(SUM(G10)&lt;&gt;0,G10,IF(AND(SUM(G11)&lt;&gt;0,$Q11=$Q$52),G11,IF(AND(SUM(G12)&lt;&gt;0,$Q12=$Q$53),G12,""))))</f>
        <v/>
      </c>
      <c r="Z10" s="525" t="str">
        <f t="shared" si="21"/>
        <v/>
      </c>
      <c r="AA10" s="523" t="str">
        <f t="shared" si="11"/>
        <v/>
      </c>
      <c r="AB10" s="523" t="str">
        <f t="shared" si="12"/>
        <v/>
      </c>
      <c r="AC10" s="139" t="str">
        <f t="shared" ca="1" si="3"/>
        <v/>
      </c>
      <c r="AD10" s="139" t="str">
        <f t="shared" ca="1" si="4"/>
        <v/>
      </c>
      <c r="AE10" s="136" t="s">
        <v>502</v>
      </c>
      <c r="AF10" s="121" t="s">
        <v>518</v>
      </c>
      <c r="AG10" s="121">
        <v>10</v>
      </c>
      <c r="AH10" s="140">
        <v>63280</v>
      </c>
      <c r="AI10" s="500">
        <f t="shared" ca="1" si="5"/>
        <v>2</v>
      </c>
      <c r="AJ10" s="2" t="str">
        <f t="shared" ca="1" si="6"/>
        <v>生2</v>
      </c>
      <c r="AK10" s="2">
        <f t="shared" si="7"/>
        <v>0</v>
      </c>
      <c r="AL10" s="2"/>
      <c r="AM10" s="2"/>
      <c r="AN10" s="2"/>
      <c r="AO10" s="2"/>
      <c r="AP10" s="470"/>
      <c r="AQ10" s="470"/>
      <c r="AR10" s="470"/>
      <c r="AS10" s="470"/>
      <c r="AT10" s="470"/>
      <c r="AU10" s="470"/>
      <c r="AV10" s="470"/>
      <c r="AW10" s="470"/>
      <c r="AX10" s="470"/>
      <c r="AY10" s="470"/>
      <c r="BB10" s="12"/>
    </row>
    <row r="11" spans="1:57" ht="17.25" customHeight="1" thickBot="1">
      <c r="A11" s="901"/>
      <c r="B11" s="557" t="str">
        <f ca="1">"新）あと　"&amp;AS19&amp;"円"</f>
        <v>新）あと　0円</v>
      </c>
      <c r="C11" s="534" t="str">
        <f ca="1">"旧）あと　"&amp;AW15&amp;"円"</f>
        <v>旧）あと　0円</v>
      </c>
      <c r="D11" s="31" t="str">
        <f ca="1">IF(AND(D$6=$N11,$P11&lt;&gt;0),MAX(D$6:OFFSET(D11,-1,0))+1,"")</f>
        <v/>
      </c>
      <c r="E11" s="31" t="str">
        <f ca="1">IF(AND(E$6=$N11,$P11&lt;&gt;0),MAX(E$6:OFFSET(E11,-1,0))+1,"")</f>
        <v/>
      </c>
      <c r="F11" s="31">
        <f ca="1">IF(AND(F$6=$N11,$P11&lt;&gt;0),MAX(F$6:OFFSET(F11,-1,0))+1,"")</f>
        <v>2</v>
      </c>
      <c r="G11" s="25" t="str">
        <f t="shared" ca="1" si="17"/>
        <v/>
      </c>
      <c r="H11" s="25" t="str">
        <f t="shared" ca="1" si="18"/>
        <v/>
      </c>
      <c r="I11" s="25">
        <f t="shared" ca="1" si="19"/>
        <v>-10000</v>
      </c>
      <c r="K11" s="25">
        <f t="shared" ref="K11:M11" ca="1" si="22">IF(LEN($Q11)&gt;3,"",IF(SUM(D11)&gt;0,D11,IF(AND(SUM(D12)&gt;0,$Q12=$Q$52),D12,IF(AND(SUM(D13)&gt;0,$Q13=$Q$53),D13,""))))</f>
        <v>3</v>
      </c>
      <c r="L11" s="25">
        <f t="shared" ca="1" si="22"/>
        <v>2</v>
      </c>
      <c r="M11" s="20">
        <f t="shared" ca="1" si="22"/>
        <v>2</v>
      </c>
      <c r="N11" s="136" t="s">
        <v>84</v>
      </c>
      <c r="O11" s="121" t="s">
        <v>2</v>
      </c>
      <c r="P11" s="515">
        <v>-10000</v>
      </c>
      <c r="Q11" s="575" t="s">
        <v>516</v>
      </c>
      <c r="R11" s="121" t="s">
        <v>521</v>
      </c>
      <c r="S11" s="121" t="s">
        <v>522</v>
      </c>
      <c r="T11" s="121">
        <v>2</v>
      </c>
      <c r="U11" s="121" t="s">
        <v>523</v>
      </c>
      <c r="V11" s="121" t="s">
        <v>524</v>
      </c>
      <c r="W11" s="505" t="s">
        <v>525</v>
      </c>
      <c r="X11" s="524" t="str">
        <f t="shared" ca="1" si="9"/>
        <v>旧</v>
      </c>
      <c r="Y11" s="524">
        <f t="shared" ref="Y11:Z11" ca="1" si="23">IF(LEN($Q11)&gt;3,"",IF(SUM(G11)&lt;&gt;0,G11,IF(AND(SUM(G12)&lt;&gt;0,$Q12=$Q$52),G12,IF(AND(SUM(G13)&lt;&gt;0,$Q13=$Q$53),G13,""))))</f>
        <v>12345</v>
      </c>
      <c r="Z11" s="525">
        <f t="shared" ca="1" si="23"/>
        <v>23456</v>
      </c>
      <c r="AA11" s="523" t="str">
        <f t="shared" ca="1" si="11"/>
        <v>旧</v>
      </c>
      <c r="AB11" s="523">
        <f t="shared" ca="1" si="12"/>
        <v>-10000</v>
      </c>
      <c r="AC11" s="139" t="str">
        <f t="shared" ca="1" si="3"/>
        <v>⇒</v>
      </c>
      <c r="AD11" s="139">
        <f t="shared" ca="1" si="4"/>
        <v>2</v>
      </c>
      <c r="AE11" s="136" t="s">
        <v>527</v>
      </c>
      <c r="AF11" s="121" t="s">
        <v>531</v>
      </c>
      <c r="AG11" s="121">
        <v>20</v>
      </c>
      <c r="AH11" s="140">
        <v>63680</v>
      </c>
      <c r="AI11" s="500">
        <f t="shared" ca="1" si="5"/>
        <v>3</v>
      </c>
      <c r="AJ11" s="2" t="str">
        <f t="shared" ca="1" si="6"/>
        <v>生3</v>
      </c>
      <c r="AK11" s="2">
        <f t="shared" ca="1" si="7"/>
        <v>1</v>
      </c>
      <c r="AL11" s="2"/>
      <c r="AM11" s="2"/>
      <c r="AN11" s="2"/>
      <c r="AO11" s="2"/>
      <c r="AP11" s="474" t="s">
        <v>18</v>
      </c>
      <c r="AQ11" s="199">
        <f ca="1">AF37</f>
        <v>58024</v>
      </c>
      <c r="AR11" s="865" t="s">
        <v>8</v>
      </c>
      <c r="AS11" s="866"/>
      <c r="AT11" s="475">
        <f ca="1">VLOOKUP(MAX(0,AQ11),AP15:AQ18,2)</f>
        <v>34506</v>
      </c>
      <c r="AU11" s="867" t="s">
        <v>11</v>
      </c>
      <c r="AV11" s="868"/>
      <c r="AW11" s="476">
        <f ca="1">IF((AT11+AT12)&gt;AY11,AY11,AT11+AT12)</f>
        <v>40000</v>
      </c>
      <c r="AX11" s="477" t="s">
        <v>5</v>
      </c>
      <c r="AY11" s="478">
        <v>40000</v>
      </c>
      <c r="BB11" s="12"/>
    </row>
    <row r="12" spans="1:57" ht="17.25" customHeight="1" thickBot="1">
      <c r="A12" s="899" t="s">
        <v>406</v>
      </c>
      <c r="B12" s="884" t="str">
        <f ca="1">IF(AY5=AY6,AP5,IF(AV30=AV29,AP22,AP21))</f>
        <v>●生命保険料控除の限度を超えました。　どの種類も　これ以上入力しても控除額は増えません。</v>
      </c>
      <c r="C12" s="885"/>
      <c r="D12" s="31">
        <f ca="1">IF(AND(D$6=$N12,$P12&lt;&gt;0),MAX(D$6:OFFSET(D12,-1,0))+1,"")</f>
        <v>3</v>
      </c>
      <c r="E12" s="31" t="str">
        <f ca="1">IF(AND(E$6=$N12,$P12&lt;&gt;0),MAX(E$6:OFFSET(E12,-1,0))+1,"")</f>
        <v/>
      </c>
      <c r="F12" s="31" t="str">
        <f ca="1">IF(AND(F$6=$N12,$P12&lt;&gt;0),MAX(F$6:OFFSET(F12,-1,0))+1,"")</f>
        <v/>
      </c>
      <c r="G12" s="25">
        <f t="shared" ca="1" si="17"/>
        <v>12345</v>
      </c>
      <c r="H12" s="25" t="str">
        <f t="shared" ca="1" si="18"/>
        <v/>
      </c>
      <c r="I12" s="25" t="str">
        <f t="shared" ca="1" si="19"/>
        <v/>
      </c>
      <c r="K12" s="25" t="str">
        <f t="shared" ref="K12:M12" si="24">IF(LEN($Q12)&gt;3,"",IF(SUM(D12)&gt;0,D12,IF(AND(SUM(D13)&gt;0,$Q13=$Q$52),D13,IF(AND(SUM(D14)&gt;0,$Q14=$Q$53),D14,""))))</f>
        <v/>
      </c>
      <c r="L12" s="25" t="str">
        <f t="shared" si="24"/>
        <v/>
      </c>
      <c r="M12" s="20" t="str">
        <f t="shared" si="24"/>
        <v/>
      </c>
      <c r="N12" s="136" t="s">
        <v>29</v>
      </c>
      <c r="O12" s="121" t="s">
        <v>2</v>
      </c>
      <c r="P12" s="515">
        <v>12345</v>
      </c>
      <c r="Q12" s="575" t="s">
        <v>543</v>
      </c>
      <c r="R12" s="121"/>
      <c r="S12" s="121"/>
      <c r="T12" s="121"/>
      <c r="U12" s="121"/>
      <c r="V12" s="121"/>
      <c r="W12" s="505"/>
      <c r="X12" s="524" t="str">
        <f t="shared" si="9"/>
        <v/>
      </c>
      <c r="Y12" s="524" t="str">
        <f t="shared" ref="Y12:Z12" si="25">IF(LEN($Q12)&gt;3,"",IF(SUM(G12)&lt;&gt;0,G12,IF(AND(SUM(G13)&lt;&gt;0,$Q13=$Q$52),G13,IF(AND(SUM(G14)&lt;&gt;0,$Q14=$Q$53),G14,""))))</f>
        <v/>
      </c>
      <c r="Z12" s="525" t="str">
        <f t="shared" si="25"/>
        <v/>
      </c>
      <c r="AA12" s="523" t="str">
        <f t="shared" si="11"/>
        <v/>
      </c>
      <c r="AB12" s="523" t="str">
        <f t="shared" si="12"/>
        <v/>
      </c>
      <c r="AC12" s="139" t="str">
        <f t="shared" ca="1" si="3"/>
        <v/>
      </c>
      <c r="AD12" s="139" t="str">
        <f t="shared" ca="1" si="4"/>
        <v/>
      </c>
      <c r="AE12" s="136" t="s">
        <v>528</v>
      </c>
      <c r="AF12" s="121" t="s">
        <v>532</v>
      </c>
      <c r="AG12" s="121">
        <v>21</v>
      </c>
      <c r="AH12" s="140">
        <v>63681</v>
      </c>
      <c r="AI12" s="500">
        <f t="shared" ca="1" si="5"/>
        <v>3</v>
      </c>
      <c r="AJ12" s="2" t="str">
        <f t="shared" ca="1" si="6"/>
        <v>生3</v>
      </c>
      <c r="AK12" s="2">
        <f t="shared" si="7"/>
        <v>0</v>
      </c>
      <c r="AL12" s="2"/>
      <c r="AM12" s="2"/>
      <c r="AN12" s="2"/>
      <c r="AO12" s="2"/>
      <c r="AP12" s="474" t="s">
        <v>19</v>
      </c>
      <c r="AQ12" s="479">
        <f ca="1">AF36</f>
        <v>92347</v>
      </c>
      <c r="AR12" s="865" t="s">
        <v>9</v>
      </c>
      <c r="AS12" s="866"/>
      <c r="AT12" s="480">
        <f ca="1">VLOOKUP(MAX(0,AQ12),AU15:AV18,2)</f>
        <v>48087</v>
      </c>
      <c r="AU12" s="861" t="s">
        <v>10</v>
      </c>
      <c r="AV12" s="862"/>
      <c r="AW12" s="481">
        <f ca="1">MAX(AT12,AW11)</f>
        <v>48087</v>
      </c>
      <c r="AX12" s="470"/>
      <c r="AY12" s="470"/>
      <c r="BB12" s="12"/>
    </row>
    <row r="13" spans="1:57" ht="17.25" customHeight="1">
      <c r="A13" s="900"/>
      <c r="B13" s="886"/>
      <c r="C13" s="887"/>
      <c r="D13" s="31" t="str">
        <f ca="1">IF(AND(D$6=$N13,$P13&lt;&gt;0),MAX(D$6:OFFSET(D13,-1,0))+1,"")</f>
        <v/>
      </c>
      <c r="E13" s="31">
        <f ca="1">IF(AND(E$6=$N13,$P13&lt;&gt;0),MAX(E$6:OFFSET(E13,-1,0))+1,"")</f>
        <v>2</v>
      </c>
      <c r="F13" s="31" t="str">
        <f ca="1">IF(AND(F$6=$N13,$P13&lt;&gt;0),MAX(F$6:OFFSET(F13,-1,0))+1,"")</f>
        <v/>
      </c>
      <c r="G13" s="25" t="str">
        <f t="shared" ca="1" si="17"/>
        <v/>
      </c>
      <c r="H13" s="25">
        <f t="shared" ca="1" si="18"/>
        <v>23456</v>
      </c>
      <c r="I13" s="25" t="str">
        <f t="shared" ca="1" si="19"/>
        <v/>
      </c>
      <c r="K13" s="25" t="str">
        <f t="shared" ref="K13:M13" si="26">IF(LEN($Q13)&gt;3,"",IF(SUM(D13)&gt;0,D13,IF(AND(SUM(D14)&gt;0,$Q14=$Q$52),D14,IF(AND(SUM(D15)&gt;0,$Q15=$Q$53),D15,""))))</f>
        <v/>
      </c>
      <c r="L13" s="25" t="str">
        <f t="shared" si="26"/>
        <v/>
      </c>
      <c r="M13" s="20" t="str">
        <f t="shared" si="26"/>
        <v/>
      </c>
      <c r="N13" s="136" t="s">
        <v>394</v>
      </c>
      <c r="O13" s="121" t="s">
        <v>2</v>
      </c>
      <c r="P13" s="515">
        <v>23456</v>
      </c>
      <c r="Q13" s="575" t="s">
        <v>396</v>
      </c>
      <c r="R13" s="121"/>
      <c r="S13" s="121"/>
      <c r="T13" s="121"/>
      <c r="U13" s="121"/>
      <c r="V13" s="121"/>
      <c r="W13" s="505"/>
      <c r="X13" s="524" t="str">
        <f t="shared" si="9"/>
        <v/>
      </c>
      <c r="Y13" s="524" t="str">
        <f t="shared" ref="Y13:Z13" si="27">IF(LEN($Q13)&gt;3,"",IF(SUM(G13)&lt;&gt;0,G13,IF(AND(SUM(G14)&lt;&gt;0,$Q14=$Q$52),G14,IF(AND(SUM(G15)&lt;&gt;0,$Q15=$Q$53),G15,""))))</f>
        <v/>
      </c>
      <c r="Z13" s="525" t="str">
        <f t="shared" si="27"/>
        <v/>
      </c>
      <c r="AA13" s="523" t="str">
        <f t="shared" si="11"/>
        <v/>
      </c>
      <c r="AB13" s="523" t="str">
        <f t="shared" si="12"/>
        <v/>
      </c>
      <c r="AC13" s="139" t="str">
        <f t="shared" ca="1" si="3"/>
        <v/>
      </c>
      <c r="AD13" s="139" t="str">
        <f t="shared" ca="1" si="4"/>
        <v/>
      </c>
      <c r="AE13" s="136" t="s">
        <v>529</v>
      </c>
      <c r="AF13" s="121" t="s">
        <v>533</v>
      </c>
      <c r="AG13" s="121">
        <v>22</v>
      </c>
      <c r="AH13" s="140">
        <v>63682</v>
      </c>
      <c r="AI13" s="500">
        <f t="shared" ca="1" si="5"/>
        <v>3</v>
      </c>
      <c r="AJ13" s="2" t="str">
        <f t="shared" ca="1" si="6"/>
        <v>生3</v>
      </c>
      <c r="AK13" s="2">
        <f t="shared" si="7"/>
        <v>0</v>
      </c>
      <c r="AL13" s="2"/>
      <c r="AM13" s="2"/>
      <c r="AN13" s="2"/>
      <c r="AO13" s="2"/>
      <c r="AP13" s="554"/>
      <c r="AQ13" s="559"/>
      <c r="AR13" s="560"/>
      <c r="AS13" s="558"/>
      <c r="AT13" s="470"/>
      <c r="AU13" s="472"/>
      <c r="AV13" s="472"/>
      <c r="AW13" s="561"/>
      <c r="AX13" s="470"/>
      <c r="AY13" s="470"/>
      <c r="BB13" s="12"/>
    </row>
    <row r="14" spans="1:57" ht="17.25" customHeight="1">
      <c r="A14" s="900"/>
      <c r="B14" s="888"/>
      <c r="C14" s="889"/>
      <c r="D14" s="31" t="str">
        <f ca="1">IF(AND(D$6=$N14,$P14&lt;&gt;0),MAX(D$6:OFFSET(D14,-1,0))+1,"")</f>
        <v/>
      </c>
      <c r="E14" s="31">
        <f ca="1">IF(AND(E$6=$N14,$P14&lt;&gt;0),MAX(E$6:OFFSET(E14,-1,0))+1,"")</f>
        <v>3</v>
      </c>
      <c r="F14" s="31" t="str">
        <f ca="1">IF(AND(F$6=$N14,$P14&lt;&gt;0),MAX(F$6:OFFSET(F14,-1,0))+1,"")</f>
        <v/>
      </c>
      <c r="G14" s="25" t="str">
        <f t="shared" ca="1" si="17"/>
        <v/>
      </c>
      <c r="H14" s="25">
        <f t="shared" ca="1" si="18"/>
        <v>34567</v>
      </c>
      <c r="I14" s="25" t="str">
        <f t="shared" ca="1" si="19"/>
        <v/>
      </c>
      <c r="K14" s="25">
        <f t="shared" ref="K14:M14" ca="1" si="28">IF(LEN($Q14)&gt;3,"",IF(SUM(D14)&gt;0,D14,IF(AND(SUM(D15)&gt;0,$Q15=$Q$52),D15,IF(AND(SUM(D16)&gt;0,$Q16=$Q$53),D16,""))))</f>
        <v>4</v>
      </c>
      <c r="L14" s="25">
        <f t="shared" ca="1" si="28"/>
        <v>3</v>
      </c>
      <c r="M14" s="20">
        <f t="shared" ca="1" si="28"/>
        <v>3</v>
      </c>
      <c r="N14" s="136" t="s">
        <v>394</v>
      </c>
      <c r="O14" s="121"/>
      <c r="P14" s="515">
        <v>34567</v>
      </c>
      <c r="Q14" s="575"/>
      <c r="R14" s="121" t="s">
        <v>534</v>
      </c>
      <c r="S14" s="121" t="s">
        <v>535</v>
      </c>
      <c r="T14" s="121">
        <v>8</v>
      </c>
      <c r="U14" s="121" t="s">
        <v>536</v>
      </c>
      <c r="V14" s="121" t="s">
        <v>537</v>
      </c>
      <c r="W14" s="505" t="s">
        <v>538</v>
      </c>
      <c r="X14" s="524" t="str">
        <f t="shared" ca="1" si="9"/>
        <v>新</v>
      </c>
      <c r="Y14" s="524">
        <f t="shared" ref="Y14:Z14" ca="1" si="29">IF(LEN($Q14)&gt;3,"",IF(SUM(G14)&lt;&gt;0,G14,IF(AND(SUM(G15)&lt;&gt;0,$Q15=$Q$52),G15,IF(AND(SUM(G16)&lt;&gt;0,$Q16=$Q$53),G16,""))))</f>
        <v>45678</v>
      </c>
      <c r="Z14" s="525">
        <f t="shared" ca="1" si="29"/>
        <v>34567</v>
      </c>
      <c r="AA14" s="523" t="str">
        <f t="shared" ca="1" si="11"/>
        <v>旧</v>
      </c>
      <c r="AB14" s="523">
        <f t="shared" ca="1" si="12"/>
        <v>56789</v>
      </c>
      <c r="AC14" s="139" t="str">
        <f t="shared" ca="1" si="3"/>
        <v/>
      </c>
      <c r="AD14" s="139" t="str">
        <f t="shared" ca="1" si="4"/>
        <v/>
      </c>
      <c r="AE14" s="136"/>
      <c r="AF14" s="121"/>
      <c r="AG14" s="121"/>
      <c r="AH14" s="140"/>
      <c r="AI14" s="500">
        <f t="shared" ca="1" si="5"/>
        <v>4</v>
      </c>
      <c r="AJ14" s="2" t="str">
        <f t="shared" ca="1" si="6"/>
        <v>生4</v>
      </c>
      <c r="AK14" s="2">
        <f t="shared" ca="1" si="7"/>
        <v>1</v>
      </c>
      <c r="AL14" s="2"/>
      <c r="AM14" s="2"/>
      <c r="AN14" s="2"/>
      <c r="AO14" s="2"/>
      <c r="AP14" s="555" t="s">
        <v>0</v>
      </c>
      <c r="AQ14" s="521" t="s">
        <v>6</v>
      </c>
      <c r="AR14" s="563" t="s">
        <v>3</v>
      </c>
      <c r="AS14" s="552" t="s">
        <v>424</v>
      </c>
      <c r="AT14" s="470"/>
      <c r="AU14" s="555" t="s">
        <v>2</v>
      </c>
      <c r="AV14" s="562" t="s">
        <v>6</v>
      </c>
      <c r="AW14" s="552" t="s">
        <v>424</v>
      </c>
      <c r="AX14" s="471"/>
      <c r="AY14" s="471"/>
      <c r="BB14" s="12"/>
    </row>
    <row r="15" spans="1:57" ht="17.25" customHeight="1">
      <c r="A15" s="900"/>
      <c r="B15" s="890" t="str">
        <f ca="1">"あと　"&amp;IF(AY5=AY6,0,MAX(0,80000-AQ30))&amp;"円"</f>
        <v>あと　0円</v>
      </c>
      <c r="C15" s="891"/>
      <c r="D15" s="31">
        <f ca="1">IF(AND(D$6=$N15,$P15&lt;&gt;0),MAX(D$6:OFFSET(D15,-1,0))+1,"")</f>
        <v>4</v>
      </c>
      <c r="E15" s="31" t="str">
        <f ca="1">IF(AND(E$6=$N15,$P15&lt;&gt;0),MAX(E$6:OFFSET(E15,-1,0))+1,"")</f>
        <v/>
      </c>
      <c r="F15" s="31" t="str">
        <f ca="1">IF(AND(F$6=$N15,$P15&lt;&gt;0),MAX(F$6:OFFSET(F15,-1,0))+1,"")</f>
        <v/>
      </c>
      <c r="G15" s="25">
        <f t="shared" ca="1" si="17"/>
        <v>45678</v>
      </c>
      <c r="H15" s="25" t="str">
        <f t="shared" ca="1" si="18"/>
        <v/>
      </c>
      <c r="I15" s="25" t="str">
        <f t="shared" ca="1" si="19"/>
        <v/>
      </c>
      <c r="K15" s="25" t="str">
        <f t="shared" ref="K15:M15" si="30">IF(LEN($Q15)&gt;3,"",IF(SUM(D15)&gt;0,D15,IF(AND(SUM(D16)&gt;0,$Q16=$Q$52),D16,IF(AND(SUM(D17)&gt;0,$Q17=$Q$53),D17,""))))</f>
        <v/>
      </c>
      <c r="L15" s="25" t="str">
        <f t="shared" si="30"/>
        <v/>
      </c>
      <c r="M15" s="20" t="str">
        <f t="shared" si="30"/>
        <v/>
      </c>
      <c r="N15" s="136" t="s">
        <v>29</v>
      </c>
      <c r="O15" s="121" t="s">
        <v>0</v>
      </c>
      <c r="P15" s="515">
        <v>45678</v>
      </c>
      <c r="Q15" s="575" t="s">
        <v>543</v>
      </c>
      <c r="R15" s="121"/>
      <c r="S15" s="121"/>
      <c r="T15" s="121"/>
      <c r="U15" s="121"/>
      <c r="V15" s="121"/>
      <c r="W15" s="505"/>
      <c r="X15" s="524" t="str">
        <f t="shared" si="9"/>
        <v/>
      </c>
      <c r="Y15" s="524" t="str">
        <f t="shared" ref="Y15:Z15" si="31">IF(LEN($Q15)&gt;3,"",IF(SUM(G15)&lt;&gt;0,G15,IF(AND(SUM(G16)&lt;&gt;0,$Q16=$Q$52),G16,IF(AND(SUM(G17)&lt;&gt;0,$Q17=$Q$53),G17,""))))</f>
        <v/>
      </c>
      <c r="Z15" s="525" t="str">
        <f t="shared" si="31"/>
        <v/>
      </c>
      <c r="AA15" s="523" t="str">
        <f t="shared" si="11"/>
        <v/>
      </c>
      <c r="AB15" s="523" t="str">
        <f t="shared" si="12"/>
        <v/>
      </c>
      <c r="AC15" s="139" t="str">
        <f t="shared" ca="1" si="3"/>
        <v/>
      </c>
      <c r="AD15" s="139" t="str">
        <f t="shared" ca="1" si="4"/>
        <v/>
      </c>
      <c r="AE15" s="136"/>
      <c r="AF15" s="121"/>
      <c r="AG15" s="121"/>
      <c r="AH15" s="140"/>
      <c r="AI15" s="500">
        <f t="shared" ca="1" si="5"/>
        <v>4</v>
      </c>
      <c r="AJ15" s="2" t="str">
        <f t="shared" ca="1" si="6"/>
        <v>生4</v>
      </c>
      <c r="AK15" s="2">
        <f t="shared" si="7"/>
        <v>0</v>
      </c>
      <c r="AL15" s="2"/>
      <c r="AM15" s="2"/>
      <c r="AN15" s="2"/>
      <c r="AO15" s="2"/>
      <c r="AP15" s="473">
        <v>-1000000</v>
      </c>
      <c r="AQ15" s="473">
        <f ca="1">AQ11</f>
        <v>58024</v>
      </c>
      <c r="AR15" s="550">
        <v>0</v>
      </c>
      <c r="AS15" s="551">
        <f ca="1">80000-AW11</f>
        <v>40000</v>
      </c>
      <c r="AT15" s="470"/>
      <c r="AU15" s="473">
        <v>-1000000</v>
      </c>
      <c r="AV15" s="473">
        <f ca="1">AQ12</f>
        <v>92347</v>
      </c>
      <c r="AW15" s="548">
        <f ca="1">IF(AY5=AY6,0,MAX(0,100000-AQ12))</f>
        <v>0</v>
      </c>
      <c r="AX15" s="471"/>
      <c r="AY15" s="471"/>
      <c r="BB15" s="12"/>
    </row>
    <row r="16" spans="1:57" ht="17.25" customHeight="1">
      <c r="A16" s="896" t="s">
        <v>405</v>
      </c>
      <c r="B16" s="892" t="str">
        <f ca="1">IF(AY5=AY6,AP5,IF(AW36=AV42,AP33,IF(AW35=AY35,AP32,AP31)))</f>
        <v>●生命保険料控除の限度を超えました。　どの種類も　これ以上入力しても控除額は増えません。</v>
      </c>
      <c r="C16" s="893"/>
      <c r="D16" s="31" t="str">
        <f ca="1">IF(AND(D$6=$N16,$P16&lt;&gt;0),MAX(D$6:OFFSET(D16,-1,0))+1,"")</f>
        <v/>
      </c>
      <c r="E16" s="31" t="str">
        <f ca="1">IF(AND(E$6=$N16,$P16&lt;&gt;0),MAX(E$6:OFFSET(E16,-1,0))+1,"")</f>
        <v/>
      </c>
      <c r="F16" s="31">
        <f ca="1">IF(AND(F$6=$N16,$P16&lt;&gt;0),MAX(F$6:OFFSET(F16,-1,0))+1,"")</f>
        <v>3</v>
      </c>
      <c r="G16" s="25" t="str">
        <f t="shared" ca="1" si="17"/>
        <v/>
      </c>
      <c r="H16" s="25" t="str">
        <f t="shared" ca="1" si="18"/>
        <v/>
      </c>
      <c r="I16" s="25">
        <f t="shared" ca="1" si="19"/>
        <v>56789</v>
      </c>
      <c r="K16" s="25" t="str">
        <f t="shared" ref="K16:M16" si="32">IF(LEN($Q16)&gt;3,"",IF(SUM(D16)&gt;0,D16,IF(AND(SUM(D17)&gt;0,$Q17=$Q$52),D17,IF(AND(SUM(D18)&gt;0,$Q18=$Q$53),D18,""))))</f>
        <v/>
      </c>
      <c r="L16" s="25" t="str">
        <f t="shared" si="32"/>
        <v/>
      </c>
      <c r="M16" s="20" t="str">
        <f t="shared" si="32"/>
        <v/>
      </c>
      <c r="N16" s="136" t="s">
        <v>84</v>
      </c>
      <c r="O16" s="121" t="s">
        <v>2</v>
      </c>
      <c r="P16" s="515">
        <v>56789</v>
      </c>
      <c r="Q16" s="575" t="s">
        <v>396</v>
      </c>
      <c r="R16" s="121"/>
      <c r="S16" s="121"/>
      <c r="T16" s="121"/>
      <c r="U16" s="121"/>
      <c r="V16" s="121"/>
      <c r="W16" s="505"/>
      <c r="X16" s="524" t="str">
        <f t="shared" si="9"/>
        <v/>
      </c>
      <c r="Y16" s="524" t="str">
        <f t="shared" ref="Y16:Z16" si="33">IF(LEN($Q16)&gt;3,"",IF(SUM(G16)&lt;&gt;0,G16,IF(AND(SUM(G17)&lt;&gt;0,$Q17=$Q$52),G17,IF(AND(SUM(G18)&lt;&gt;0,$Q18=$Q$53),G18,""))))</f>
        <v/>
      </c>
      <c r="Z16" s="525" t="str">
        <f t="shared" si="33"/>
        <v/>
      </c>
      <c r="AA16" s="523" t="str">
        <f t="shared" si="11"/>
        <v/>
      </c>
      <c r="AB16" s="523" t="str">
        <f t="shared" si="12"/>
        <v/>
      </c>
      <c r="AC16" s="139" t="str">
        <f t="shared" ca="1" si="3"/>
        <v>⇒</v>
      </c>
      <c r="AD16" s="139">
        <f t="shared" ca="1" si="4"/>
        <v>3</v>
      </c>
      <c r="AE16" s="136"/>
      <c r="AF16" s="121"/>
      <c r="AG16" s="121"/>
      <c r="AH16" s="140"/>
      <c r="AI16" s="500">
        <f t="shared" ca="1" si="5"/>
        <v>4</v>
      </c>
      <c r="AJ16" s="2" t="str">
        <f t="shared" ca="1" si="6"/>
        <v>生4</v>
      </c>
      <c r="AK16" s="2">
        <f t="shared" si="7"/>
        <v>0</v>
      </c>
      <c r="AL16" s="2"/>
      <c r="AM16" s="2"/>
      <c r="AN16" s="2"/>
      <c r="AO16" s="2"/>
      <c r="AP16" s="473">
        <v>20001</v>
      </c>
      <c r="AQ16" s="473">
        <f ca="1">ROUNDUP(AQ11*0.5+10000,0)</f>
        <v>39012</v>
      </c>
      <c r="AR16" s="550">
        <v>20001</v>
      </c>
      <c r="AS16" s="551">
        <f ca="1">80000-((AW11-20000)*2+20000)</f>
        <v>20000</v>
      </c>
      <c r="AT16" s="470"/>
      <c r="AU16" s="473">
        <v>25001</v>
      </c>
      <c r="AV16" s="473">
        <f ca="1">ROUNDUP(AQ12*0.5+12500,0)</f>
        <v>58674</v>
      </c>
      <c r="AW16" s="471"/>
      <c r="AX16" s="471"/>
      <c r="AY16" s="471"/>
    </row>
    <row r="17" spans="1:51" ht="17.25" customHeight="1">
      <c r="A17" s="897"/>
      <c r="B17" s="894"/>
      <c r="C17" s="895"/>
      <c r="D17" s="31">
        <f ca="1">IF(AND(D$6=$N17,$P17&lt;&gt;0),MAX(D$6:OFFSET(D17,-1,0))+1,"")</f>
        <v>5</v>
      </c>
      <c r="E17" s="31" t="str">
        <f ca="1">IF(AND(E$6=$N17,$P17&lt;&gt;0),MAX(E$6:OFFSET(E17,-1,0))+1,"")</f>
        <v/>
      </c>
      <c r="F17" s="31" t="str">
        <f ca="1">IF(AND(F$6=$N17,$P17&lt;&gt;0),MAX(F$6:OFFSET(F17,-1,0))+1,"")</f>
        <v/>
      </c>
      <c r="G17" s="25">
        <f t="shared" ca="1" si="17"/>
        <v>1</v>
      </c>
      <c r="H17" s="25" t="str">
        <f t="shared" ca="1" si="18"/>
        <v/>
      </c>
      <c r="I17" s="25" t="str">
        <f t="shared" ca="1" si="19"/>
        <v/>
      </c>
      <c r="K17" s="25">
        <f t="shared" ref="K17:M17" ca="1" si="34">IF(LEN($Q17)&gt;3,"",IF(SUM(D17)&gt;0,D17,IF(AND(SUM(D18)&gt;0,$Q18=$Q$52),D18,IF(AND(SUM(D19)&gt;0,$Q19=$Q$53),D19,""))))</f>
        <v>5</v>
      </c>
      <c r="L17" s="25" t="str">
        <f t="shared" ca="1" si="34"/>
        <v/>
      </c>
      <c r="M17" s="20" t="str">
        <f t="shared" ca="1" si="34"/>
        <v/>
      </c>
      <c r="N17" s="136" t="s">
        <v>29</v>
      </c>
      <c r="O17" s="121" t="s">
        <v>0</v>
      </c>
      <c r="P17" s="515">
        <v>1</v>
      </c>
      <c r="Q17" s="575"/>
      <c r="R17" s="121"/>
      <c r="S17" s="121"/>
      <c r="T17" s="121"/>
      <c r="U17" s="121"/>
      <c r="V17" s="121"/>
      <c r="W17" s="505"/>
      <c r="X17" s="524" t="str">
        <f t="shared" ca="1" si="9"/>
        <v>新</v>
      </c>
      <c r="Y17" s="524">
        <f t="shared" ref="Y17:Z17" ca="1" si="35">IF(LEN($Q17)&gt;3,"",IF(SUM(G17)&lt;&gt;0,G17,IF(AND(SUM(G18)&lt;&gt;0,$Q18=$Q$52),G18,IF(AND(SUM(G19)&lt;&gt;0,$Q19=$Q$53),G19,""))))</f>
        <v>1</v>
      </c>
      <c r="Z17" s="525" t="str">
        <f t="shared" ca="1" si="35"/>
        <v/>
      </c>
      <c r="AA17" s="523" t="str">
        <f t="shared" ca="1" si="11"/>
        <v/>
      </c>
      <c r="AB17" s="523" t="str">
        <f t="shared" ca="1" si="12"/>
        <v/>
      </c>
      <c r="AC17" s="139" t="str">
        <f t="shared" ca="1" si="3"/>
        <v/>
      </c>
      <c r="AD17" s="139" t="str">
        <f t="shared" ca="1" si="4"/>
        <v/>
      </c>
      <c r="AE17" s="136"/>
      <c r="AF17" s="121"/>
      <c r="AG17" s="121"/>
      <c r="AH17" s="140"/>
      <c r="AI17" s="500">
        <f t="shared" ca="1" si="5"/>
        <v>5</v>
      </c>
      <c r="AJ17" s="2" t="str">
        <f t="shared" ca="1" si="6"/>
        <v>生5</v>
      </c>
      <c r="AK17" s="2">
        <f t="shared" ca="1" si="7"/>
        <v>1</v>
      </c>
      <c r="AL17" s="2"/>
      <c r="AM17" s="2"/>
      <c r="AN17" s="2"/>
      <c r="AO17" s="2"/>
      <c r="AP17" s="473">
        <v>40001</v>
      </c>
      <c r="AQ17" s="473">
        <f ca="1">ROUNDUP(AQ11*0.25+20000,0)</f>
        <v>34506</v>
      </c>
      <c r="AR17" s="550">
        <v>30001</v>
      </c>
      <c r="AS17" s="551">
        <f ca="1">80000-((AW11-30000)*4+40000)</f>
        <v>0</v>
      </c>
      <c r="AT17" s="470"/>
      <c r="AU17" s="473">
        <v>50001</v>
      </c>
      <c r="AV17" s="473">
        <f ca="1">ROUNDUP(AQ12*0.25+25000,0)</f>
        <v>48087</v>
      </c>
      <c r="AW17" s="471"/>
      <c r="AX17" s="471"/>
      <c r="AY17" s="471"/>
    </row>
    <row r="18" spans="1:51" ht="17.25" customHeight="1">
      <c r="A18" s="897"/>
      <c r="B18" s="894"/>
      <c r="C18" s="895"/>
      <c r="D18" s="31">
        <f ca="1">IF(AND(D$6=$N18,$P18&lt;&gt;0),MAX(D$6:OFFSET(D18,-1,0))+1,"")</f>
        <v>6</v>
      </c>
      <c r="E18" s="31" t="str">
        <f ca="1">IF(AND(E$6=$N18,$P18&lt;&gt;0),MAX(E$6:OFFSET(E18,-1,0))+1,"")</f>
        <v/>
      </c>
      <c r="F18" s="31" t="str">
        <f ca="1">IF(AND(F$6=$N18,$P18&lt;&gt;0),MAX(F$6:OFFSET(F18,-1,0))+1,"")</f>
        <v/>
      </c>
      <c r="G18" s="25">
        <f t="shared" ca="1" si="17"/>
        <v>2</v>
      </c>
      <c r="H18" s="25" t="str">
        <f t="shared" ca="1" si="18"/>
        <v/>
      </c>
      <c r="I18" s="25" t="str">
        <f t="shared" ca="1" si="19"/>
        <v/>
      </c>
      <c r="K18" s="25">
        <f t="shared" ref="K18:M18" ca="1" si="36">IF(LEN($Q18)&gt;3,"",IF(SUM(D18)&gt;0,D18,IF(AND(SUM(D19)&gt;0,$Q19=$Q$52),D19,IF(AND(SUM(D20)&gt;0,$Q20=$Q$53),D20,""))))</f>
        <v>6</v>
      </c>
      <c r="L18" s="25">
        <f ca="1">IF(LEN($Q18)&gt;3,"",IF(SUM(E18)&gt;0,E18,IF(AND(SUM(E19)&gt;0,$Q19=$Q$52),E19,IF(AND(SUM(E20)&gt;0,$Q20=$Q$53),E20,""))))</f>
        <v>4</v>
      </c>
      <c r="M18" s="20">
        <f t="shared" ca="1" si="36"/>
        <v>4</v>
      </c>
      <c r="N18" s="136" t="s">
        <v>29</v>
      </c>
      <c r="O18" s="121" t="s">
        <v>2</v>
      </c>
      <c r="P18" s="515">
        <v>2</v>
      </c>
      <c r="Q18" s="575"/>
      <c r="R18" s="121" t="s">
        <v>539</v>
      </c>
      <c r="S18" s="121" t="s">
        <v>540</v>
      </c>
      <c r="T18" s="121" t="s">
        <v>541</v>
      </c>
      <c r="U18" s="121" t="s">
        <v>502</v>
      </c>
      <c r="V18" s="121" t="s">
        <v>502</v>
      </c>
      <c r="W18" s="505" t="s">
        <v>518</v>
      </c>
      <c r="X18" s="524" t="str">
        <f t="shared" ca="1" si="9"/>
        <v>旧</v>
      </c>
      <c r="Y18" s="524">
        <f t="shared" ref="Y18:Z18" ca="1" si="37">IF(LEN($Q18)&gt;3,"",IF(SUM(G18)&lt;&gt;0,G18,IF(AND(SUM(G19)&lt;&gt;0,$Q19=$Q$52),G19,IF(AND(SUM(G20)&lt;&gt;0,$Q20=$Q$53),G20,""))))</f>
        <v>2</v>
      </c>
      <c r="Z18" s="525">
        <f t="shared" ca="1" si="37"/>
        <v>3</v>
      </c>
      <c r="AA18" s="523" t="str">
        <f t="shared" ca="1" si="11"/>
        <v>旧</v>
      </c>
      <c r="AB18" s="523">
        <f t="shared" ca="1" si="12"/>
        <v>4</v>
      </c>
      <c r="AC18" s="139" t="str">
        <f t="shared" ca="1" si="3"/>
        <v/>
      </c>
      <c r="AD18" s="139" t="str">
        <f t="shared" ca="1" si="4"/>
        <v/>
      </c>
      <c r="AE18" s="136"/>
      <c r="AF18" s="121"/>
      <c r="AG18" s="121"/>
      <c r="AH18" s="140"/>
      <c r="AI18" s="500">
        <f t="shared" ca="1" si="5"/>
        <v>6</v>
      </c>
      <c r="AJ18" s="2" t="str">
        <f t="shared" ca="1" si="6"/>
        <v>生6</v>
      </c>
      <c r="AK18" s="2">
        <f t="shared" ca="1" si="7"/>
        <v>1</v>
      </c>
      <c r="AL18" s="2"/>
      <c r="AM18" s="2"/>
      <c r="AN18" s="2"/>
      <c r="AP18" s="473">
        <v>80001</v>
      </c>
      <c r="AQ18" s="473">
        <v>40000</v>
      </c>
      <c r="AR18" s="550">
        <v>40001</v>
      </c>
      <c r="AS18" s="552">
        <v>0</v>
      </c>
      <c r="AT18" s="470"/>
      <c r="AU18" s="473">
        <v>100001</v>
      </c>
      <c r="AV18" s="473">
        <v>50000</v>
      </c>
      <c r="AW18" s="471"/>
      <c r="AX18" s="471"/>
      <c r="AY18" s="471"/>
    </row>
    <row r="19" spans="1:51" ht="17.25" customHeight="1">
      <c r="A19" s="898"/>
      <c r="B19" s="556" t="str">
        <f ca="1">"新）あと　"&amp;AS43&amp;"円"</f>
        <v>新）あと　0円</v>
      </c>
      <c r="C19" s="533" t="str">
        <f ca="1">"旧）あと　"&amp;AW39&amp;"円"</f>
        <v>旧）あと　0円</v>
      </c>
      <c r="D19" s="31" t="str">
        <f ca="1">IF(AND(D$6=$N19,$P19&lt;&gt;0),MAX(D$6:OFFSET(D19,-1,0))+1,"")</f>
        <v/>
      </c>
      <c r="E19" s="31">
        <f ca="1">IF(AND(E$6=$N19,$P19&lt;&gt;0),MAX(E$6:OFFSET(E19,-1,0))+1,"")</f>
        <v>4</v>
      </c>
      <c r="F19" s="31" t="str">
        <f ca="1">IF(AND(F$6=$N19,$P19&lt;&gt;0),MAX(F$6:OFFSET(F19,-1,0))+1,"")</f>
        <v/>
      </c>
      <c r="G19" s="25" t="str">
        <f t="shared" ca="1" si="17"/>
        <v/>
      </c>
      <c r="H19" s="25">
        <f t="shared" ca="1" si="18"/>
        <v>3</v>
      </c>
      <c r="I19" s="25" t="str">
        <f t="shared" ca="1" si="19"/>
        <v/>
      </c>
      <c r="K19" s="25" t="str">
        <f t="shared" ref="K19:M19" si="38">IF(LEN($Q19)&gt;3,"",IF(SUM(D19)&gt;0,D19,IF(AND(SUM(D20)&gt;0,$Q20=$Q$52),D20,IF(AND(SUM(D21)&gt;0,$Q21=$Q$53),D21,""))))</f>
        <v/>
      </c>
      <c r="L19" s="25" t="str">
        <f t="shared" si="38"/>
        <v/>
      </c>
      <c r="M19" s="20" t="str">
        <f t="shared" si="38"/>
        <v/>
      </c>
      <c r="N19" s="136" t="s">
        <v>394</v>
      </c>
      <c r="O19" s="121"/>
      <c r="P19" s="515">
        <v>3</v>
      </c>
      <c r="Q19" s="575" t="s">
        <v>543</v>
      </c>
      <c r="R19" s="121"/>
      <c r="S19" s="121"/>
      <c r="T19" s="121"/>
      <c r="U19" s="121"/>
      <c r="V19" s="121"/>
      <c r="W19" s="505"/>
      <c r="X19" s="524" t="str">
        <f t="shared" si="9"/>
        <v/>
      </c>
      <c r="Y19" s="524" t="str">
        <f t="shared" ref="Y19:Z19" si="39">IF(LEN($Q19)&gt;3,"",IF(SUM(G19)&lt;&gt;0,G19,IF(AND(SUM(G20)&lt;&gt;0,$Q20=$Q$52),G20,IF(AND(SUM(G21)&lt;&gt;0,$Q21=$Q$53),G21,""))))</f>
        <v/>
      </c>
      <c r="Z19" s="525" t="str">
        <f t="shared" si="39"/>
        <v/>
      </c>
      <c r="AA19" s="523" t="str">
        <f t="shared" si="11"/>
        <v/>
      </c>
      <c r="AB19" s="523" t="str">
        <f t="shared" si="12"/>
        <v/>
      </c>
      <c r="AC19" s="139" t="str">
        <f t="shared" ca="1" si="3"/>
        <v/>
      </c>
      <c r="AD19" s="139" t="str">
        <f t="shared" ca="1" si="4"/>
        <v/>
      </c>
      <c r="AE19" s="136"/>
      <c r="AF19" s="121"/>
      <c r="AG19" s="121"/>
      <c r="AH19" s="140"/>
      <c r="AI19" s="500">
        <f t="shared" ca="1" si="5"/>
        <v>6</v>
      </c>
      <c r="AJ19" s="2" t="str">
        <f t="shared" ca="1" si="6"/>
        <v>生6</v>
      </c>
      <c r="AK19" s="2">
        <f t="shared" si="7"/>
        <v>0</v>
      </c>
      <c r="AP19" s="471"/>
      <c r="AQ19" s="553" t="s">
        <v>7</v>
      </c>
      <c r="AR19" s="470"/>
      <c r="AS19" s="549">
        <f ca="1">VLOOKUP(MAX(0,AW11),AR15:AS18,2)</f>
        <v>0</v>
      </c>
      <c r="AT19" s="470"/>
      <c r="AU19" s="471"/>
      <c r="AV19" s="553" t="s">
        <v>7</v>
      </c>
      <c r="AW19" s="470"/>
      <c r="AX19" s="472"/>
      <c r="AY19" s="471"/>
    </row>
    <row r="20" spans="1:51" ht="17.25" customHeight="1">
      <c r="D20" s="31" t="str">
        <f ca="1">IF(AND(D$6=$N20,$P20&lt;&gt;0),MAX(D$6:OFFSET(D20,-1,0))+1,"")</f>
        <v/>
      </c>
      <c r="E20" s="31" t="str">
        <f ca="1">IF(AND(E$6=$N20,$P20&lt;&gt;0),MAX(E$6:OFFSET(E20,-1,0))+1,"")</f>
        <v/>
      </c>
      <c r="F20" s="31">
        <f ca="1">IF(AND(F$6=$N20,$P20&lt;&gt;0),MAX(F$6:OFFSET(F20,-1,0))+1,"")</f>
        <v>4</v>
      </c>
      <c r="G20" s="25" t="str">
        <f t="shared" ca="1" si="17"/>
        <v/>
      </c>
      <c r="H20" s="25" t="str">
        <f t="shared" ca="1" si="18"/>
        <v/>
      </c>
      <c r="I20" s="25">
        <f t="shared" ca="1" si="19"/>
        <v>4</v>
      </c>
      <c r="K20" s="25" t="str">
        <f t="shared" ref="K20:M20" si="40">IF(LEN($Q20)&gt;3,"",IF(SUM(D20)&gt;0,D20,IF(AND(SUM(D21)&gt;0,$Q21=$Q$52),D21,IF(AND(SUM(D22)&gt;0,$Q22=$Q$53),D22,""))))</f>
        <v/>
      </c>
      <c r="L20" s="25" t="str">
        <f t="shared" si="40"/>
        <v/>
      </c>
      <c r="M20" s="20" t="str">
        <f t="shared" si="40"/>
        <v/>
      </c>
      <c r="N20" s="136" t="s">
        <v>84</v>
      </c>
      <c r="O20" s="121" t="s">
        <v>2</v>
      </c>
      <c r="P20" s="515">
        <v>4</v>
      </c>
      <c r="Q20" s="575" t="s">
        <v>396</v>
      </c>
      <c r="R20" s="121"/>
      <c r="S20" s="121"/>
      <c r="T20" s="121"/>
      <c r="U20" s="121"/>
      <c r="V20" s="121"/>
      <c r="W20" s="505"/>
      <c r="X20" s="524" t="str">
        <f t="shared" si="9"/>
        <v/>
      </c>
      <c r="Y20" s="524" t="str">
        <f t="shared" ref="Y20:Z20" si="41">IF(LEN($Q20)&gt;3,"",IF(SUM(G20)&lt;&gt;0,G20,IF(AND(SUM(G21)&lt;&gt;0,$Q21=$Q$52),G21,IF(AND(SUM(G22)&lt;&gt;0,$Q22=$Q$53),G22,""))))</f>
        <v/>
      </c>
      <c r="Z20" s="525" t="str">
        <f t="shared" si="41"/>
        <v/>
      </c>
      <c r="AA20" s="523" t="str">
        <f t="shared" si="11"/>
        <v/>
      </c>
      <c r="AB20" s="523" t="str">
        <f t="shared" si="12"/>
        <v/>
      </c>
      <c r="AC20" s="139" t="str">
        <f t="shared" ca="1" si="3"/>
        <v>⇒</v>
      </c>
      <c r="AD20" s="139">
        <f t="shared" ca="1" si="4"/>
        <v>4</v>
      </c>
      <c r="AE20" s="136" t="s">
        <v>502</v>
      </c>
      <c r="AF20" s="121" t="s">
        <v>530</v>
      </c>
      <c r="AG20" s="121">
        <v>10</v>
      </c>
      <c r="AH20" s="140">
        <v>51533</v>
      </c>
      <c r="AI20" s="500">
        <f t="shared" ca="1" si="5"/>
        <v>6</v>
      </c>
      <c r="AJ20" s="2" t="str">
        <f t="shared" ca="1" si="6"/>
        <v>生6</v>
      </c>
      <c r="AK20" s="2">
        <f t="shared" si="7"/>
        <v>0</v>
      </c>
      <c r="AP20" s="470" t="s">
        <v>0</v>
      </c>
      <c r="AQ20" s="470" t="s">
        <v>2</v>
      </c>
      <c r="AR20" s="470"/>
      <c r="AS20" s="470"/>
      <c r="AT20" s="470"/>
      <c r="AU20" s="470"/>
      <c r="AV20" s="470"/>
      <c r="AW20" s="470"/>
      <c r="AX20" s="470"/>
      <c r="AY20" s="470"/>
    </row>
    <row r="21" spans="1:51" ht="17.25" customHeight="1">
      <c r="D21" s="31" t="str">
        <f ca="1">IF(AND(D$6=$N21,$P21&lt;&gt;0),MAX(D$6:OFFSET(D21,-1,0))+1,"")</f>
        <v/>
      </c>
      <c r="E21" s="31" t="str">
        <f ca="1">IF(AND(E$6=$N21,$P21&lt;&gt;0),MAX(E$6:OFFSET(E21,-1,0))+1,"")</f>
        <v/>
      </c>
      <c r="F21" s="31" t="str">
        <f ca="1">IF(AND(F$6=$N21,$P21&lt;&gt;0),MAX(F$6:OFFSET(F21,-1,0))+1,"")</f>
        <v/>
      </c>
      <c r="G21" s="25" t="str">
        <f t="shared" ca="1" si="17"/>
        <v/>
      </c>
      <c r="H21" s="25" t="str">
        <f t="shared" ca="1" si="18"/>
        <v/>
      </c>
      <c r="I21" s="25" t="str">
        <f t="shared" ca="1" si="19"/>
        <v/>
      </c>
      <c r="K21" s="25" t="str">
        <f t="shared" ref="K21:M21" ca="1" si="42">IF(LEN($Q21)&gt;3,"",IF(SUM(D21)&gt;0,D21,IF(AND(SUM(D22)&gt;0,$Q22=$Q$52),D22,IF(AND(SUM(D23)&gt;0,$Q23=$Q$53),D23,""))))</f>
        <v/>
      </c>
      <c r="L21" s="25" t="str">
        <f t="shared" ca="1" si="42"/>
        <v/>
      </c>
      <c r="M21" s="20" t="str">
        <f t="shared" ca="1" si="42"/>
        <v/>
      </c>
      <c r="N21" s="136"/>
      <c r="O21" s="121"/>
      <c r="P21" s="515"/>
      <c r="Q21" s="575"/>
      <c r="R21" s="121"/>
      <c r="S21" s="121"/>
      <c r="T21" s="121"/>
      <c r="U21" s="121"/>
      <c r="V21" s="121"/>
      <c r="W21" s="505"/>
      <c r="X21" s="524" t="str">
        <f t="shared" ca="1" si="9"/>
        <v/>
      </c>
      <c r="Y21" s="524" t="str">
        <f t="shared" ref="Y21:Z21" ca="1" si="43">IF(LEN($Q21)&gt;3,"",IF(SUM(G21)&lt;&gt;0,G21,IF(AND(SUM(G22)&lt;&gt;0,$Q22=$Q$52),G22,IF(AND(SUM(G23)&lt;&gt;0,$Q23=$Q$53),G23,""))))</f>
        <v/>
      </c>
      <c r="Z21" s="525" t="str">
        <f t="shared" ca="1" si="43"/>
        <v/>
      </c>
      <c r="AA21" s="523" t="str">
        <f t="shared" ca="1" si="11"/>
        <v/>
      </c>
      <c r="AB21" s="523" t="str">
        <f t="shared" ca="1" si="12"/>
        <v/>
      </c>
      <c r="AC21" s="139" t="str">
        <f t="shared" ca="1" si="3"/>
        <v/>
      </c>
      <c r="AD21" s="139" t="str">
        <f t="shared" ca="1" si="4"/>
        <v/>
      </c>
      <c r="AE21" s="136"/>
      <c r="AF21" s="121"/>
      <c r="AG21" s="121"/>
      <c r="AH21" s="140"/>
      <c r="AI21" s="500" t="str">
        <f t="shared" ca="1" si="5"/>
        <v/>
      </c>
      <c r="AJ21" s="2" t="str">
        <f t="shared" ca="1" si="6"/>
        <v/>
      </c>
      <c r="AK21" s="2">
        <f t="shared" ca="1" si="7"/>
        <v>0</v>
      </c>
      <c r="AP21" s="116" t="s">
        <v>392</v>
      </c>
      <c r="AQ21" s="116"/>
      <c r="AR21" s="116"/>
      <c r="AS21" s="116"/>
      <c r="AT21" s="116"/>
      <c r="AU21" s="116"/>
      <c r="AV21" s="116"/>
      <c r="AW21" s="116"/>
      <c r="AX21" s="456"/>
      <c r="AY21" s="456"/>
    </row>
    <row r="22" spans="1:51" ht="17.25" customHeight="1">
      <c r="A22" s="2"/>
      <c r="B22" s="2"/>
      <c r="C22" s="2"/>
      <c r="D22" s="31" t="str">
        <f ca="1">IF(AND(D$6=$N22,$P22&lt;&gt;0),MAX(D$6:OFFSET(D22,-1,0))+1,"")</f>
        <v/>
      </c>
      <c r="E22" s="31" t="str">
        <f ca="1">IF(AND(E$6=$N22,$P22&lt;&gt;0),MAX(E$6:OFFSET(E22,-1,0))+1,"")</f>
        <v/>
      </c>
      <c r="F22" s="31" t="str">
        <f ca="1">IF(AND(F$6=$N22,$P22&lt;&gt;0),MAX(F$6:OFFSET(F22,-1,0))+1,"")</f>
        <v/>
      </c>
      <c r="G22" s="25" t="str">
        <f t="shared" ca="1" si="17"/>
        <v/>
      </c>
      <c r="H22" s="25" t="str">
        <f t="shared" ca="1" si="18"/>
        <v/>
      </c>
      <c r="I22" s="25" t="str">
        <f t="shared" ca="1" si="19"/>
        <v/>
      </c>
      <c r="K22" s="25" t="str">
        <f t="shared" ref="K22:M22" ca="1" si="44">IF(LEN($Q22)&gt;3,"",IF(SUM(D22)&gt;0,D22,IF(AND(SUM(D23)&gt;0,$Q23=$Q$52),D23,IF(AND(SUM(D24)&gt;0,$Q24=$Q$53),D24,""))))</f>
        <v/>
      </c>
      <c r="L22" s="25" t="str">
        <f t="shared" ca="1" si="44"/>
        <v/>
      </c>
      <c r="M22" s="20" t="str">
        <f t="shared" ca="1" si="44"/>
        <v/>
      </c>
      <c r="N22" s="136"/>
      <c r="O22" s="121"/>
      <c r="P22" s="515"/>
      <c r="Q22" s="575"/>
      <c r="R22" s="121"/>
      <c r="S22" s="121"/>
      <c r="T22" s="121"/>
      <c r="U22" s="121"/>
      <c r="V22" s="121"/>
      <c r="W22" s="505"/>
      <c r="X22" s="524" t="str">
        <f t="shared" ca="1" si="9"/>
        <v/>
      </c>
      <c r="Y22" s="524" t="str">
        <f t="shared" ref="Y22:Z22" ca="1" si="45">IF(LEN($Q22)&gt;3,"",IF(SUM(G22)&lt;&gt;0,G22,IF(AND(SUM(G23)&lt;&gt;0,$Q23=$Q$52),G23,IF(AND(SUM(G24)&lt;&gt;0,$Q24=$Q$53),G24,""))))</f>
        <v/>
      </c>
      <c r="Z22" s="525" t="str">
        <f t="shared" ca="1" si="45"/>
        <v/>
      </c>
      <c r="AA22" s="523" t="str">
        <f t="shared" ca="1" si="11"/>
        <v/>
      </c>
      <c r="AB22" s="523" t="str">
        <f t="shared" ca="1" si="12"/>
        <v/>
      </c>
      <c r="AC22" s="139" t="str">
        <f t="shared" ca="1" si="3"/>
        <v/>
      </c>
      <c r="AD22" s="139" t="str">
        <f t="shared" ca="1" si="4"/>
        <v/>
      </c>
      <c r="AE22" s="136"/>
      <c r="AF22" s="121"/>
      <c r="AG22" s="121"/>
      <c r="AH22" s="140"/>
      <c r="AI22" s="500" t="str">
        <f t="shared" ca="1" si="5"/>
        <v/>
      </c>
      <c r="AJ22" s="2" t="str">
        <f t="shared" ca="1" si="6"/>
        <v/>
      </c>
      <c r="AK22" s="2">
        <f t="shared" ca="1" si="7"/>
        <v>0</v>
      </c>
      <c r="AP22" s="116" t="s">
        <v>328</v>
      </c>
      <c r="AQ22" s="116"/>
      <c r="AR22" s="116"/>
      <c r="AS22" s="116"/>
      <c r="AT22" s="116"/>
      <c r="AU22" s="116"/>
      <c r="AV22" s="116"/>
      <c r="AW22" s="116"/>
      <c r="AX22" s="116"/>
      <c r="AY22" s="116"/>
    </row>
    <row r="23" spans="1:51" ht="17.25" customHeight="1">
      <c r="A23" s="4"/>
      <c r="B23" s="2"/>
      <c r="C23" s="348"/>
      <c r="D23" s="31" t="str">
        <f ca="1">IF(AND(D$6=$N23,$P23&lt;&gt;0),MAX(D$6:OFFSET(D23,-1,0))+1,"")</f>
        <v/>
      </c>
      <c r="E23" s="31" t="str">
        <f ca="1">IF(AND(E$6=$N23,$P23&lt;&gt;0),MAX(E$6:OFFSET(E23,-1,0))+1,"")</f>
        <v/>
      </c>
      <c r="F23" s="31" t="str">
        <f ca="1">IF(AND(F$6=$N23,$P23&lt;&gt;0),MAX(F$6:OFFSET(F23,-1,0))+1,"")</f>
        <v/>
      </c>
      <c r="G23" s="25" t="str">
        <f t="shared" ca="1" si="17"/>
        <v/>
      </c>
      <c r="H23" s="25" t="str">
        <f t="shared" ca="1" si="18"/>
        <v/>
      </c>
      <c r="I23" s="25" t="str">
        <f t="shared" ca="1" si="19"/>
        <v/>
      </c>
      <c r="K23" s="25" t="str">
        <f t="shared" ref="K23:M23" ca="1" si="46">IF(LEN($Q23)&gt;3,"",IF(SUM(D23)&gt;0,D23,IF(AND(SUM(D24)&gt;0,$Q24=$Q$52),D24,IF(AND(SUM(D25)&gt;0,$Q25=$Q$53),D25,""))))</f>
        <v/>
      </c>
      <c r="L23" s="25" t="str">
        <f t="shared" ca="1" si="46"/>
        <v/>
      </c>
      <c r="M23" s="20" t="str">
        <f t="shared" ca="1" si="46"/>
        <v/>
      </c>
      <c r="N23" s="136"/>
      <c r="O23" s="121"/>
      <c r="P23" s="515"/>
      <c r="Q23" s="575"/>
      <c r="R23" s="121"/>
      <c r="S23" s="121"/>
      <c r="T23" s="121"/>
      <c r="U23" s="121"/>
      <c r="V23" s="121"/>
      <c r="W23" s="505"/>
      <c r="X23" s="524" t="str">
        <f t="shared" ca="1" si="9"/>
        <v/>
      </c>
      <c r="Y23" s="524" t="str">
        <f t="shared" ref="Y23:Z23" ca="1" si="47">IF(LEN($Q23)&gt;3,"",IF(SUM(G23)&lt;&gt;0,G23,IF(AND(SUM(G24)&lt;&gt;0,$Q24=$Q$52),G24,IF(AND(SUM(G25)&lt;&gt;0,$Q25=$Q$53),G25,""))))</f>
        <v/>
      </c>
      <c r="Z23" s="525" t="str">
        <f t="shared" ca="1" si="47"/>
        <v/>
      </c>
      <c r="AA23" s="523" t="str">
        <f t="shared" ca="1" si="11"/>
        <v/>
      </c>
      <c r="AB23" s="523" t="str">
        <f t="shared" ca="1" si="12"/>
        <v/>
      </c>
      <c r="AC23" s="139" t="str">
        <f t="shared" ca="1" si="3"/>
        <v/>
      </c>
      <c r="AD23" s="139" t="str">
        <f t="shared" ca="1" si="4"/>
        <v/>
      </c>
      <c r="AE23" s="136"/>
      <c r="AF23" s="121"/>
      <c r="AG23" s="121"/>
      <c r="AH23" s="140"/>
      <c r="AI23" s="500" t="str">
        <f t="shared" ca="1" si="5"/>
        <v/>
      </c>
      <c r="AJ23" s="2" t="str">
        <f t="shared" ca="1" si="6"/>
        <v/>
      </c>
      <c r="AK23" s="2">
        <f t="shared" ca="1" si="7"/>
        <v>0</v>
      </c>
      <c r="AP23" s="116"/>
      <c r="AQ23" s="116"/>
      <c r="AR23" s="116"/>
      <c r="AS23" s="116"/>
      <c r="AT23" s="116"/>
      <c r="AU23" s="116"/>
      <c r="AV23" s="116"/>
      <c r="AW23" s="116"/>
      <c r="AX23" s="116"/>
      <c r="AY23" s="116"/>
    </row>
    <row r="24" spans="1:51" ht="17.25" customHeight="1">
      <c r="A24" s="4"/>
      <c r="B24" s="2"/>
      <c r="C24" s="348"/>
      <c r="D24" s="31" t="str">
        <f ca="1">IF(AND(D$6=$N24,$P24&lt;&gt;0),MAX(D$6:OFFSET(D24,-1,0))+1,"")</f>
        <v/>
      </c>
      <c r="E24" s="31" t="str">
        <f ca="1">IF(AND(E$6=$N24,$P24&lt;&gt;0),MAX(E$6:OFFSET(E24,-1,0))+1,"")</f>
        <v/>
      </c>
      <c r="F24" s="31" t="str">
        <f ca="1">IF(AND(F$6=$N24,$P24&lt;&gt;0),MAX(F$6:OFFSET(F24,-1,0))+1,"")</f>
        <v/>
      </c>
      <c r="G24" s="25" t="str">
        <f t="shared" ca="1" si="17"/>
        <v/>
      </c>
      <c r="H24" s="25" t="str">
        <f t="shared" ca="1" si="18"/>
        <v/>
      </c>
      <c r="I24" s="25" t="str">
        <f t="shared" ca="1" si="19"/>
        <v/>
      </c>
      <c r="K24" s="25" t="str">
        <f t="shared" ref="K24:M24" ca="1" si="48">IF(LEN($Q24)&gt;3,"",IF(SUM(D24)&gt;0,D24,IF(AND(SUM(D25)&gt;0,$Q25=$Q$52),D25,IF(AND(SUM(D26)&gt;0,$Q26=$Q$53),D26,""))))</f>
        <v/>
      </c>
      <c r="L24" s="25" t="str">
        <f t="shared" ca="1" si="48"/>
        <v/>
      </c>
      <c r="M24" s="20" t="str">
        <f t="shared" ca="1" si="48"/>
        <v/>
      </c>
      <c r="N24" s="136"/>
      <c r="O24" s="121"/>
      <c r="P24" s="515"/>
      <c r="Q24" s="575"/>
      <c r="R24" s="121"/>
      <c r="S24" s="121"/>
      <c r="T24" s="121"/>
      <c r="U24" s="121"/>
      <c r="V24" s="121"/>
      <c r="W24" s="505"/>
      <c r="X24" s="524" t="str">
        <f t="shared" ca="1" si="9"/>
        <v/>
      </c>
      <c r="Y24" s="524" t="str">
        <f t="shared" ref="Y24:Z24" ca="1" si="49">IF(LEN($Q24)&gt;3,"",IF(SUM(G24)&lt;&gt;0,G24,IF(AND(SUM(G25)&lt;&gt;0,$Q25=$Q$52),G25,IF(AND(SUM(G26)&lt;&gt;0,$Q26=$Q$53),G26,""))))</f>
        <v/>
      </c>
      <c r="Z24" s="525" t="str">
        <f t="shared" ca="1" si="49"/>
        <v/>
      </c>
      <c r="AA24" s="523" t="str">
        <f t="shared" ca="1" si="11"/>
        <v/>
      </c>
      <c r="AB24" s="523" t="str">
        <f t="shared" ca="1" si="12"/>
        <v/>
      </c>
      <c r="AC24" s="139" t="str">
        <f t="shared" ca="1" si="3"/>
        <v/>
      </c>
      <c r="AD24" s="139" t="str">
        <f t="shared" ca="1" si="4"/>
        <v/>
      </c>
      <c r="AE24" s="136"/>
      <c r="AF24" s="121"/>
      <c r="AG24" s="121"/>
      <c r="AH24" s="140"/>
      <c r="AI24" s="500" t="str">
        <f t="shared" ca="1" si="5"/>
        <v/>
      </c>
      <c r="AJ24" s="2" t="str">
        <f t="shared" ca="1" si="6"/>
        <v/>
      </c>
      <c r="AK24" s="2">
        <f t="shared" ca="1" si="7"/>
        <v>0</v>
      </c>
      <c r="AP24" s="457" t="s">
        <v>0</v>
      </c>
      <c r="AQ24" s="458" t="s">
        <v>6</v>
      </c>
      <c r="AR24" s="116"/>
      <c r="AS24" s="116"/>
      <c r="AT24" s="116"/>
      <c r="AU24" s="116"/>
      <c r="AV24" s="116"/>
      <c r="AW24" s="116"/>
      <c r="AX24" s="116"/>
      <c r="AY24" s="116"/>
    </row>
    <row r="25" spans="1:51" ht="17.25" customHeight="1">
      <c r="A25" s="4"/>
      <c r="B25" s="2"/>
      <c r="C25" s="348"/>
      <c r="D25" s="31" t="str">
        <f ca="1">IF(AND(D$6=$N25,$P25&lt;&gt;0),MAX(D$6:OFFSET(D25,-1,0))+1,"")</f>
        <v/>
      </c>
      <c r="E25" s="31" t="str">
        <f ca="1">IF(AND(E$6=$N25,$P25&lt;&gt;0),MAX(E$6:OFFSET(E25,-1,0))+1,"")</f>
        <v/>
      </c>
      <c r="F25" s="31" t="str">
        <f ca="1">IF(AND(F$6=$N25,$P25&lt;&gt;0),MAX(F$6:OFFSET(F25,-1,0))+1,"")</f>
        <v/>
      </c>
      <c r="G25" s="25" t="str">
        <f t="shared" ca="1" si="17"/>
        <v/>
      </c>
      <c r="H25" s="25" t="str">
        <f t="shared" ca="1" si="18"/>
        <v/>
      </c>
      <c r="I25" s="25" t="str">
        <f t="shared" ca="1" si="19"/>
        <v/>
      </c>
      <c r="K25" s="25" t="str">
        <f t="shared" ref="K25:M25" ca="1" si="50">IF(LEN($Q25)&gt;3,"",IF(SUM(D25)&gt;0,D25,IF(AND(SUM(D26)&gt;0,$Q26=$Q$52),D26,IF(AND(SUM(D27)&gt;0,$Q27=$Q$53),D27,""))))</f>
        <v/>
      </c>
      <c r="L25" s="25" t="str">
        <f t="shared" ca="1" si="50"/>
        <v/>
      </c>
      <c r="M25" s="20" t="str">
        <f t="shared" ca="1" si="50"/>
        <v/>
      </c>
      <c r="N25" s="136"/>
      <c r="O25" s="121"/>
      <c r="P25" s="515"/>
      <c r="Q25" s="575"/>
      <c r="R25" s="121"/>
      <c r="S25" s="121"/>
      <c r="T25" s="121"/>
      <c r="U25" s="121"/>
      <c r="V25" s="121"/>
      <c r="W25" s="505"/>
      <c r="X25" s="524" t="str">
        <f t="shared" ca="1" si="9"/>
        <v/>
      </c>
      <c r="Y25" s="524" t="str">
        <f t="shared" ref="Y25:Z25" ca="1" si="51">IF(LEN($Q25)&gt;3,"",IF(SUM(G25)&lt;&gt;0,G25,IF(AND(SUM(G26)&lt;&gt;0,$Q26=$Q$52),G26,IF(AND(SUM(G27)&lt;&gt;0,$Q27=$Q$53),G27,""))))</f>
        <v/>
      </c>
      <c r="Z25" s="525" t="str">
        <f t="shared" ca="1" si="51"/>
        <v/>
      </c>
      <c r="AA25" s="523" t="str">
        <f t="shared" ca="1" si="11"/>
        <v/>
      </c>
      <c r="AB25" s="523" t="str">
        <f t="shared" ca="1" si="12"/>
        <v/>
      </c>
      <c r="AC25" s="139" t="str">
        <f t="shared" ca="1" si="3"/>
        <v/>
      </c>
      <c r="AD25" s="139" t="str">
        <f t="shared" ca="1" si="4"/>
        <v/>
      </c>
      <c r="AE25" s="136"/>
      <c r="AF25" s="121"/>
      <c r="AG25" s="121"/>
      <c r="AH25" s="140"/>
      <c r="AI25" s="500" t="str">
        <f t="shared" ca="1" si="5"/>
        <v/>
      </c>
      <c r="AJ25" s="2" t="str">
        <f t="shared" ca="1" si="6"/>
        <v/>
      </c>
      <c r="AK25" s="2">
        <f t="shared" ca="1" si="7"/>
        <v>0</v>
      </c>
      <c r="AP25" s="459">
        <v>-1000000</v>
      </c>
      <c r="AQ25" s="459">
        <f ca="1">AQ30</f>
        <v>208026</v>
      </c>
      <c r="AR25" s="460"/>
      <c r="AS25" s="116"/>
      <c r="AT25" s="116"/>
      <c r="AU25" s="116"/>
      <c r="AV25" s="116"/>
      <c r="AW25" s="116"/>
      <c r="AX25" s="116"/>
      <c r="AY25" s="116"/>
    </row>
    <row r="26" spans="1:51" ht="17.25" customHeight="1">
      <c r="A26" s="4"/>
      <c r="B26" s="2"/>
      <c r="C26" s="348"/>
      <c r="D26" s="25" t="str">
        <f ca="1">IF(AND(D$6=$N26,$P26&lt;&gt;0),MAX(D$6:OFFSET(D26,-1,0))+1,"")</f>
        <v/>
      </c>
      <c r="E26" s="25" t="str">
        <f ca="1">IF(AND(E$6=$N26,$P26&lt;&gt;0),MAX(E$6:OFFSET(E26,-1,0))+1,"")</f>
        <v/>
      </c>
      <c r="F26" s="25" t="str">
        <f ca="1">IF(AND(F$6=$N26,$P26&lt;&gt;0),MAX(F$6:OFFSET(F26,-1,0))+1,"")</f>
        <v/>
      </c>
      <c r="G26" s="25" t="str">
        <f t="shared" ca="1" si="17"/>
        <v/>
      </c>
      <c r="H26" s="25" t="str">
        <f t="shared" ca="1" si="18"/>
        <v/>
      </c>
      <c r="I26" s="25" t="str">
        <f t="shared" ca="1" si="19"/>
        <v/>
      </c>
      <c r="K26" s="25" t="str">
        <f t="shared" ref="K26:M26" ca="1" si="52">IF(LEN($Q26)&gt;3,"",IF(SUM(D26)&gt;0,D26,IF(AND(SUM(D27)&gt;0,$Q27=$Q$52),D27,IF(AND(SUM(D28)&gt;0,$Q28=$Q$53),D28,""))))</f>
        <v/>
      </c>
      <c r="L26" s="25" t="str">
        <f t="shared" ca="1" si="52"/>
        <v/>
      </c>
      <c r="M26" s="20" t="str">
        <f t="shared" ca="1" si="52"/>
        <v/>
      </c>
      <c r="N26" s="136"/>
      <c r="O26" s="121"/>
      <c r="P26" s="515"/>
      <c r="Q26" s="575"/>
      <c r="R26" s="121"/>
      <c r="S26" s="121"/>
      <c r="T26" s="121"/>
      <c r="U26" s="121"/>
      <c r="V26" s="121"/>
      <c r="W26" s="505"/>
      <c r="X26" s="524" t="str">
        <f t="shared" ca="1" si="9"/>
        <v/>
      </c>
      <c r="Y26" s="524" t="str">
        <f t="shared" ref="Y26:Z26" ca="1" si="53">IF(LEN($Q26)&gt;3,"",IF(SUM(G26)&lt;&gt;0,G26,IF(AND(SUM(G27)&lt;&gt;0,$Q27=$Q$52),G27,IF(AND(SUM(G28)&lt;&gt;0,$Q28=$Q$53),G28,""))))</f>
        <v/>
      </c>
      <c r="Z26" s="525" t="str">
        <f t="shared" ca="1" si="53"/>
        <v/>
      </c>
      <c r="AA26" s="523" t="str">
        <f t="shared" ca="1" si="11"/>
        <v/>
      </c>
      <c r="AB26" s="523" t="str">
        <f t="shared" ca="1" si="12"/>
        <v/>
      </c>
      <c r="AC26" s="139" t="str">
        <f t="shared" ca="1" si="3"/>
        <v/>
      </c>
      <c r="AD26" s="139" t="str">
        <f t="shared" ca="1" si="4"/>
        <v/>
      </c>
      <c r="AE26" s="136"/>
      <c r="AF26" s="121"/>
      <c r="AG26" s="121"/>
      <c r="AH26" s="140"/>
      <c r="AI26" s="500" t="str">
        <f t="shared" ca="1" si="5"/>
        <v/>
      </c>
      <c r="AJ26" s="2" t="str">
        <f t="shared" ca="1" si="6"/>
        <v/>
      </c>
      <c r="AK26" s="2">
        <f t="shared" ca="1" si="7"/>
        <v>0</v>
      </c>
      <c r="AP26" s="459">
        <v>20001</v>
      </c>
      <c r="AQ26" s="459">
        <f ca="1">ROUNDUP(AQ30*0.5+10000,0)</f>
        <v>114013</v>
      </c>
      <c r="AR26" s="116"/>
      <c r="AS26" s="116"/>
      <c r="AT26" s="116"/>
      <c r="AU26" s="116"/>
      <c r="AV26" s="116"/>
      <c r="AW26" s="116"/>
      <c r="AX26" s="116"/>
      <c r="AY26" s="116"/>
    </row>
    <row r="27" spans="1:51" ht="13.5" customHeight="1" thickBot="1">
      <c r="C27" s="564"/>
      <c r="D27" s="25">
        <f ca="1">MAX(D6:OFFSET(D27,-1,0))+1</f>
        <v>7</v>
      </c>
      <c r="E27" s="25">
        <f ca="1">MAX(E6:OFFSET(E27,-1,0))+1</f>
        <v>5</v>
      </c>
      <c r="F27" s="25">
        <f ca="1">MAX(F6:OFFSET(F27,-1,0))+1</f>
        <v>5</v>
      </c>
      <c r="K27" s="32">
        <f ca="1">MAX(K6:OFFSET(K27,-1,0))+1</f>
        <v>7</v>
      </c>
      <c r="L27" s="52">
        <f ca="1">MAX(L6:OFFSET(L27,-1,0))+1</f>
        <v>5</v>
      </c>
      <c r="M27" s="26">
        <f ca="1">MAX(M6:OFFSET(M27,-1,0))+1</f>
        <v>5</v>
      </c>
      <c r="N27" s="506"/>
      <c r="O27" s="507"/>
      <c r="P27" s="516"/>
      <c r="Q27" s="520"/>
      <c r="R27" s="508"/>
      <c r="S27" s="509"/>
      <c r="T27" s="509"/>
      <c r="U27" s="509"/>
      <c r="V27" s="509"/>
      <c r="W27" s="510"/>
      <c r="X27" s="385"/>
      <c r="Y27" s="385"/>
      <c r="Z27" s="385"/>
      <c r="AA27" s="385"/>
      <c r="AB27" s="385"/>
      <c r="AC27" s="386"/>
      <c r="AD27" s="385">
        <f ca="1">MAX(AD6:AD26)+1</f>
        <v>5</v>
      </c>
      <c r="AE27" s="385"/>
      <c r="AF27" s="385"/>
      <c r="AG27" s="385"/>
      <c r="AH27" s="387"/>
      <c r="AI27" s="501"/>
      <c r="AP27" s="459">
        <v>40001</v>
      </c>
      <c r="AQ27" s="459">
        <f ca="1">ROUNDUP(AQ30*0.25+20000,0)</f>
        <v>72007</v>
      </c>
      <c r="AR27" s="116"/>
      <c r="AS27" s="116"/>
      <c r="AT27" s="116"/>
      <c r="AU27" s="116"/>
      <c r="AV27" s="116"/>
      <c r="AW27" s="116"/>
      <c r="AX27" s="116"/>
      <c r="AY27" s="116"/>
    </row>
    <row r="28" spans="1:51" ht="20.25" customHeight="1">
      <c r="A28" s="2"/>
      <c r="B28" s="2"/>
      <c r="C28" s="141"/>
      <c r="K28" s="2">
        <f t="shared" ref="K28:AK28" si="54">COLUMN()-COLUMN($K28)+1</f>
        <v>1</v>
      </c>
      <c r="L28" s="2">
        <f t="shared" si="54"/>
        <v>2</v>
      </c>
      <c r="M28" s="2">
        <f t="shared" si="54"/>
        <v>3</v>
      </c>
      <c r="N28" s="2">
        <f t="shared" si="54"/>
        <v>4</v>
      </c>
      <c r="O28" s="2">
        <f t="shared" si="54"/>
        <v>5</v>
      </c>
      <c r="P28" s="2">
        <f t="shared" si="54"/>
        <v>6</v>
      </c>
      <c r="Q28" s="2">
        <f t="shared" si="54"/>
        <v>7</v>
      </c>
      <c r="R28" s="2">
        <f t="shared" si="54"/>
        <v>8</v>
      </c>
      <c r="S28" s="2">
        <f t="shared" si="54"/>
        <v>9</v>
      </c>
      <c r="T28" s="2">
        <f t="shared" si="54"/>
        <v>10</v>
      </c>
      <c r="U28" s="2">
        <f t="shared" si="54"/>
        <v>11</v>
      </c>
      <c r="V28" s="2">
        <f t="shared" si="54"/>
        <v>12</v>
      </c>
      <c r="W28" s="2">
        <f t="shared" si="54"/>
        <v>13</v>
      </c>
      <c r="X28" s="2">
        <f t="shared" si="54"/>
        <v>14</v>
      </c>
      <c r="Y28" s="2">
        <f t="shared" si="54"/>
        <v>15</v>
      </c>
      <c r="Z28" s="2">
        <f t="shared" si="54"/>
        <v>16</v>
      </c>
      <c r="AA28" s="2">
        <f t="shared" si="54"/>
        <v>17</v>
      </c>
      <c r="AB28" s="2">
        <f t="shared" si="54"/>
        <v>18</v>
      </c>
      <c r="AC28" s="2">
        <f t="shared" si="54"/>
        <v>19</v>
      </c>
      <c r="AD28" s="2">
        <f t="shared" si="54"/>
        <v>20</v>
      </c>
      <c r="AE28" s="2">
        <f t="shared" si="54"/>
        <v>21</v>
      </c>
      <c r="AF28" s="2">
        <f t="shared" si="54"/>
        <v>22</v>
      </c>
      <c r="AG28" s="2">
        <f t="shared" si="54"/>
        <v>23</v>
      </c>
      <c r="AH28" s="2">
        <f t="shared" si="54"/>
        <v>24</v>
      </c>
      <c r="AI28" s="2">
        <f t="shared" si="54"/>
        <v>25</v>
      </c>
      <c r="AJ28" s="2">
        <f t="shared" si="54"/>
        <v>26</v>
      </c>
      <c r="AK28" s="2">
        <f t="shared" si="54"/>
        <v>27</v>
      </c>
      <c r="AP28" s="459">
        <v>80001</v>
      </c>
      <c r="AQ28" s="459">
        <v>40000</v>
      </c>
      <c r="AR28" s="116"/>
      <c r="AS28" s="116"/>
      <c r="AT28" s="116"/>
      <c r="AU28" s="116"/>
      <c r="AV28" s="116"/>
      <c r="AW28" s="116"/>
      <c r="AX28" s="116"/>
      <c r="AY28" s="116"/>
    </row>
    <row r="29" spans="1:51" ht="20.25" customHeight="1" thickBot="1">
      <c r="A29" s="4"/>
      <c r="B29" s="2"/>
      <c r="C29" s="348"/>
      <c r="L29" s="2">
        <f t="shared" ref="L29:AK29" si="55">COLUMN()-COLUMN($L29)+1</f>
        <v>1</v>
      </c>
      <c r="M29" s="2">
        <f t="shared" si="55"/>
        <v>2</v>
      </c>
      <c r="N29" s="2">
        <f t="shared" si="55"/>
        <v>3</v>
      </c>
      <c r="O29" s="2">
        <f t="shared" si="55"/>
        <v>4</v>
      </c>
      <c r="P29" s="2">
        <f t="shared" si="55"/>
        <v>5</v>
      </c>
      <c r="Q29" s="2">
        <f t="shared" si="55"/>
        <v>6</v>
      </c>
      <c r="R29" s="2">
        <f t="shared" si="55"/>
        <v>7</v>
      </c>
      <c r="S29" s="2">
        <f t="shared" si="55"/>
        <v>8</v>
      </c>
      <c r="T29" s="2">
        <f t="shared" si="55"/>
        <v>9</v>
      </c>
      <c r="U29" s="2">
        <f t="shared" si="55"/>
        <v>10</v>
      </c>
      <c r="V29" s="2">
        <f t="shared" si="55"/>
        <v>11</v>
      </c>
      <c r="W29" s="2">
        <f t="shared" si="55"/>
        <v>12</v>
      </c>
      <c r="X29" s="2">
        <f t="shared" si="55"/>
        <v>13</v>
      </c>
      <c r="Y29" s="2">
        <f t="shared" si="55"/>
        <v>14</v>
      </c>
      <c r="Z29" s="2">
        <f t="shared" si="55"/>
        <v>15</v>
      </c>
      <c r="AA29" s="2">
        <f t="shared" si="55"/>
        <v>16</v>
      </c>
      <c r="AB29" s="2">
        <f t="shared" si="55"/>
        <v>17</v>
      </c>
      <c r="AC29" s="2">
        <f t="shared" si="55"/>
        <v>18</v>
      </c>
      <c r="AD29" s="2">
        <f t="shared" si="55"/>
        <v>19</v>
      </c>
      <c r="AE29" s="2">
        <f t="shared" si="55"/>
        <v>20</v>
      </c>
      <c r="AF29" s="2">
        <f t="shared" si="55"/>
        <v>21</v>
      </c>
      <c r="AG29" s="2">
        <f t="shared" si="55"/>
        <v>22</v>
      </c>
      <c r="AH29" s="2">
        <f t="shared" si="55"/>
        <v>23</v>
      </c>
      <c r="AI29" s="2">
        <f t="shared" si="55"/>
        <v>24</v>
      </c>
      <c r="AJ29" s="2">
        <f t="shared" si="55"/>
        <v>25</v>
      </c>
      <c r="AK29" s="2">
        <f t="shared" si="55"/>
        <v>26</v>
      </c>
      <c r="AP29" s="461"/>
      <c r="AQ29" s="462" t="s">
        <v>7</v>
      </c>
      <c r="AR29" s="461"/>
      <c r="AS29" s="456"/>
      <c r="AT29" s="461"/>
      <c r="AU29" s="463" t="s">
        <v>20</v>
      </c>
      <c r="AV29" s="464">
        <v>40000</v>
      </c>
      <c r="AW29" s="116"/>
      <c r="AX29" s="116"/>
      <c r="AY29" s="116"/>
    </row>
    <row r="30" spans="1:51" ht="20.25" customHeight="1" thickBot="1">
      <c r="A30" s="4"/>
      <c r="B30" s="2"/>
      <c r="C30" s="348"/>
      <c r="M30" s="2">
        <f>COLUMN()-COLUMN($M30)+1</f>
        <v>1</v>
      </c>
      <c r="N30" s="2">
        <f t="shared" ref="N30:AC30" si="56">COLUMN()-COLUMN($M30)+1</f>
        <v>2</v>
      </c>
      <c r="O30" s="2">
        <f t="shared" si="56"/>
        <v>3</v>
      </c>
      <c r="P30" s="2">
        <f t="shared" si="56"/>
        <v>4</v>
      </c>
      <c r="Q30" s="2">
        <f t="shared" si="56"/>
        <v>5</v>
      </c>
      <c r="R30" s="2">
        <f t="shared" si="56"/>
        <v>6</v>
      </c>
      <c r="S30" s="2">
        <f t="shared" si="56"/>
        <v>7</v>
      </c>
      <c r="T30" s="2">
        <f t="shared" si="56"/>
        <v>8</v>
      </c>
      <c r="U30" s="2">
        <f t="shared" si="56"/>
        <v>9</v>
      </c>
      <c r="V30" s="2">
        <f t="shared" si="56"/>
        <v>10</v>
      </c>
      <c r="W30" s="2">
        <f t="shared" si="56"/>
        <v>11</v>
      </c>
      <c r="X30" s="2">
        <f t="shared" si="56"/>
        <v>12</v>
      </c>
      <c r="Y30" s="2">
        <f t="shared" si="56"/>
        <v>13</v>
      </c>
      <c r="Z30" s="2">
        <f t="shared" si="56"/>
        <v>14</v>
      </c>
      <c r="AA30" s="2">
        <f t="shared" si="56"/>
        <v>15</v>
      </c>
      <c r="AB30" s="2">
        <f t="shared" si="56"/>
        <v>16</v>
      </c>
      <c r="AC30" s="2">
        <f t="shared" si="56"/>
        <v>17</v>
      </c>
      <c r="AD30" s="2">
        <f>COLUMN()-COLUMN($AD30)+1</f>
        <v>1</v>
      </c>
      <c r="AE30" s="2">
        <f t="shared" ref="AE30:AK30" si="57">COLUMN()-COLUMN($AD30)+1</f>
        <v>2</v>
      </c>
      <c r="AF30" s="2">
        <f t="shared" si="57"/>
        <v>3</v>
      </c>
      <c r="AG30" s="2">
        <f t="shared" si="57"/>
        <v>4</v>
      </c>
      <c r="AH30" s="2">
        <f t="shared" si="57"/>
        <v>5</v>
      </c>
      <c r="AI30" s="2">
        <f t="shared" si="57"/>
        <v>6</v>
      </c>
      <c r="AJ30" s="2">
        <f t="shared" si="57"/>
        <v>7</v>
      </c>
      <c r="AK30" s="2">
        <f t="shared" si="57"/>
        <v>8</v>
      </c>
      <c r="AP30" s="465" t="s">
        <v>17</v>
      </c>
      <c r="AQ30" s="466">
        <f ca="1">AG37</f>
        <v>208026</v>
      </c>
      <c r="AR30" s="461"/>
      <c r="AS30" s="461"/>
      <c r="AT30" s="467"/>
      <c r="AU30" s="468" t="s">
        <v>16</v>
      </c>
      <c r="AV30" s="469">
        <f ca="1">VLOOKUP(MAX(0,AQ30),AP25:AQ28,2)</f>
        <v>40000</v>
      </c>
      <c r="AW30" s="116"/>
      <c r="AX30" s="116"/>
      <c r="AY30" s="116"/>
    </row>
    <row r="31" spans="1:51" ht="20.25" customHeight="1">
      <c r="A31" s="4"/>
      <c r="B31" s="2"/>
      <c r="C31" s="348"/>
      <c r="Q31" s="2"/>
      <c r="AP31" s="482" t="s">
        <v>387</v>
      </c>
      <c r="AQ31" s="482"/>
      <c r="AR31" s="482"/>
      <c r="AS31" s="482"/>
      <c r="AT31" s="482"/>
      <c r="AU31" s="482"/>
      <c r="AV31" s="482"/>
      <c r="AW31" s="482"/>
      <c r="AX31" s="482"/>
      <c r="AY31" s="482"/>
    </row>
    <row r="32" spans="1:51" ht="20.25" customHeight="1">
      <c r="A32" s="4"/>
      <c r="B32" s="2"/>
      <c r="C32" s="348"/>
      <c r="O32" s="5" t="s">
        <v>542</v>
      </c>
      <c r="P32" s="15">
        <f>SUM(P6:P27)</f>
        <v>455190</v>
      </c>
      <c r="V32" s="2"/>
      <c r="W32" s="9" t="s">
        <v>542</v>
      </c>
      <c r="X32" s="9">
        <f ca="1">SUM(X6:AB27)</f>
        <v>455190</v>
      </c>
      <c r="AP32" s="482" t="s">
        <v>390</v>
      </c>
      <c r="AQ32" s="482"/>
      <c r="AR32" s="482"/>
      <c r="AS32" s="482"/>
      <c r="AT32" s="482"/>
      <c r="AU32" s="482"/>
      <c r="AV32" s="482"/>
      <c r="AW32" s="482"/>
      <c r="AX32" s="482"/>
      <c r="AY32" s="482"/>
    </row>
    <row r="33" spans="13:53" ht="20.25" customHeight="1">
      <c r="M33" s="2"/>
      <c r="N33" s="2"/>
      <c r="O33" s="2"/>
      <c r="P33" s="2"/>
      <c r="Q33" s="2"/>
      <c r="R33" s="2"/>
      <c r="S33" s="2"/>
      <c r="T33" s="2"/>
      <c r="U33" s="2"/>
      <c r="V33" s="2"/>
      <c r="W33" s="2"/>
      <c r="X33" s="2"/>
      <c r="AC33" s="874"/>
      <c r="AD33" s="874"/>
      <c r="AE33" s="42"/>
      <c r="AF33" s="84" t="s">
        <v>29</v>
      </c>
      <c r="AG33" s="84" t="s">
        <v>83</v>
      </c>
      <c r="AH33" s="98" t="s">
        <v>84</v>
      </c>
      <c r="AI33" s="2"/>
      <c r="AJ33" s="2"/>
      <c r="AK33" s="2"/>
      <c r="AP33" s="482" t="s">
        <v>329</v>
      </c>
      <c r="AQ33" s="482"/>
      <c r="AR33" s="482"/>
      <c r="AS33" s="482"/>
      <c r="AT33" s="482"/>
      <c r="AU33" s="482"/>
      <c r="AV33" s="482"/>
      <c r="AW33" s="482"/>
      <c r="AX33" s="482"/>
      <c r="AY33" s="482"/>
    </row>
    <row r="34" spans="13:53" ht="20.25" customHeight="1">
      <c r="M34" s="2"/>
      <c r="N34" s="2"/>
      <c r="O34" s="2"/>
      <c r="P34" s="2"/>
      <c r="Q34" s="2"/>
      <c r="R34" s="2"/>
      <c r="S34" s="2"/>
      <c r="T34" s="2"/>
      <c r="U34" s="2"/>
      <c r="V34" s="2"/>
      <c r="W34" s="2"/>
      <c r="X34" s="2"/>
      <c r="AC34" s="665" t="s">
        <v>87</v>
      </c>
      <c r="AD34" s="665"/>
      <c r="AE34" s="48"/>
      <c r="AF34" s="100">
        <f ca="1">SUM(Y6:Y27)</f>
        <v>150371</v>
      </c>
      <c r="AG34" s="100">
        <f ca="1">SUM(Z6:Z27)</f>
        <v>208026</v>
      </c>
      <c r="AH34" s="100">
        <f ca="1">SUM(AB6:AB27)</f>
        <v>96793</v>
      </c>
      <c r="AI34" s="2"/>
      <c r="AJ34" s="2"/>
      <c r="AK34" s="2"/>
      <c r="AP34" s="482"/>
      <c r="AQ34" s="482"/>
      <c r="AR34" s="482"/>
      <c r="AS34" s="482"/>
      <c r="AT34" s="482"/>
      <c r="AU34" s="482"/>
      <c r="AV34" s="482"/>
      <c r="AW34" s="482"/>
      <c r="AX34" s="482"/>
      <c r="AY34" s="482"/>
    </row>
    <row r="35" spans="13:53" ht="20.25" customHeight="1" thickBot="1">
      <c r="M35" s="2"/>
      <c r="N35" s="2"/>
      <c r="O35" s="2"/>
      <c r="P35" s="2"/>
      <c r="Q35" s="2"/>
      <c r="R35" s="2"/>
      <c r="S35" s="2"/>
      <c r="T35" s="2"/>
      <c r="U35" s="2"/>
      <c r="V35" s="2"/>
      <c r="W35" s="2"/>
      <c r="X35" s="2"/>
      <c r="AC35" s="2"/>
      <c r="AD35" s="2"/>
      <c r="AE35" s="531" t="str">
        <f>X6</f>
        <v>新旧区分</v>
      </c>
      <c r="AF35" s="2"/>
      <c r="AG35" s="2"/>
      <c r="AH35" s="2"/>
      <c r="AI35" s="531" t="str">
        <f>AA6</f>
        <v>新旧区分2</v>
      </c>
      <c r="AJ35" s="1" t="s">
        <v>266</v>
      </c>
      <c r="AK35" s="2"/>
      <c r="AL35" s="2"/>
      <c r="AM35" s="2"/>
      <c r="AN35" s="2"/>
      <c r="AP35" s="483" t="s">
        <v>21</v>
      </c>
      <c r="AQ35" s="484">
        <f ca="1">AH37</f>
        <v>50000</v>
      </c>
      <c r="AR35" s="485"/>
      <c r="AS35" s="486" t="s">
        <v>23</v>
      </c>
      <c r="AT35" s="487">
        <f ca="1">VLOOKUP(MAX(0,AQ35),AP39:AQ42,2)</f>
        <v>32500</v>
      </c>
      <c r="AU35" s="863" t="s">
        <v>25</v>
      </c>
      <c r="AV35" s="864"/>
      <c r="AW35" s="488">
        <f ca="1">MIN(AY35,AT35+AT36)</f>
        <v>40000</v>
      </c>
      <c r="AX35" s="489" t="s">
        <v>151</v>
      </c>
      <c r="AY35" s="490">
        <v>40000</v>
      </c>
      <c r="BA35" s="41"/>
    </row>
    <row r="36" spans="13:53" ht="20.25" customHeight="1" thickBot="1">
      <c r="V36" s="2"/>
      <c r="AC36" s="874" t="s">
        <v>103</v>
      </c>
      <c r="AD36" s="648"/>
      <c r="AE36" s="532" t="s">
        <v>2</v>
      </c>
      <c r="AF36" s="101">
        <f ca="1">DSUM(X6:Y27,Y6,AE35:AE36)</f>
        <v>92347</v>
      </c>
      <c r="AG36" s="97"/>
      <c r="AH36" s="102">
        <f ca="1">DSUM(AA6:AB27,AB6,AI35:AI36)</f>
        <v>46793</v>
      </c>
      <c r="AI36" s="532" t="s">
        <v>2</v>
      </c>
      <c r="AJ36" s="1" t="s">
        <v>298</v>
      </c>
      <c r="AK36" s="2"/>
      <c r="AP36" s="483" t="s">
        <v>22</v>
      </c>
      <c r="AQ36" s="484">
        <f ca="1">AH36</f>
        <v>46793</v>
      </c>
      <c r="AR36" s="485"/>
      <c r="AS36" s="486" t="s">
        <v>24</v>
      </c>
      <c r="AT36" s="491">
        <f ca="1">VLOOKUP(MAX(0,AQ36),AU39:AV42,2)</f>
        <v>35897</v>
      </c>
      <c r="AU36" s="859" t="s">
        <v>26</v>
      </c>
      <c r="AV36" s="860"/>
      <c r="AW36" s="492">
        <f ca="1">MAX(AT36,AW35)</f>
        <v>40000</v>
      </c>
      <c r="AX36" s="493"/>
      <c r="AY36" s="493"/>
      <c r="BA36" s="41"/>
    </row>
    <row r="37" spans="13:53" ht="20.25" customHeight="1">
      <c r="V37" s="2"/>
      <c r="AC37" s="874" t="s">
        <v>103</v>
      </c>
      <c r="AD37" s="874"/>
      <c r="AE37" s="99" t="s">
        <v>165</v>
      </c>
      <c r="AF37" s="9">
        <f ca="1">AF34-AF36</f>
        <v>58024</v>
      </c>
      <c r="AG37" s="9">
        <f ca="1">AG34</f>
        <v>208026</v>
      </c>
      <c r="AH37" s="9">
        <f ca="1">AH34-AH36</f>
        <v>50000</v>
      </c>
      <c r="AI37" s="2"/>
      <c r="AJ37" s="2">
        <f ca="1">OFFSET('⑤印刷（保険控除）'!A16,-1,0)</f>
        <v>5</v>
      </c>
      <c r="AK37" s="1" t="str">
        <f>'⑤印刷（保険控除）'!B15</f>
        <v>枚目</v>
      </c>
      <c r="AO37" s="2"/>
      <c r="AP37" s="493"/>
      <c r="AQ37" s="493"/>
      <c r="AR37" s="493"/>
      <c r="AS37" s="493"/>
      <c r="AT37" s="493"/>
      <c r="AU37" s="493"/>
      <c r="AV37" s="493"/>
      <c r="AW37" s="493"/>
      <c r="AX37" s="493"/>
      <c r="AY37" s="493"/>
      <c r="BA37" s="41"/>
    </row>
    <row r="38" spans="13:53" ht="20.25" customHeight="1" thickBot="1">
      <c r="AI38" s="2"/>
      <c r="AJ38" s="2"/>
      <c r="AK38" s="2"/>
      <c r="AP38" s="495" t="s">
        <v>0</v>
      </c>
      <c r="AQ38" s="496" t="s">
        <v>6</v>
      </c>
      <c r="AR38" s="563" t="s">
        <v>3</v>
      </c>
      <c r="AS38" s="552" t="s">
        <v>424</v>
      </c>
      <c r="AT38" s="493"/>
      <c r="AU38" s="497" t="s">
        <v>2</v>
      </c>
      <c r="AV38" s="496" t="s">
        <v>6</v>
      </c>
      <c r="AW38" s="552" t="s">
        <v>424</v>
      </c>
      <c r="AX38" s="482"/>
      <c r="AY38" s="482"/>
      <c r="BA38" s="41"/>
    </row>
    <row r="39" spans="13:53" ht="20.25" customHeight="1">
      <c r="AC39" s="874"/>
      <c r="AD39" s="874"/>
      <c r="AE39" s="406" t="str">
        <f>AC36</f>
        <v>内訳</v>
      </c>
      <c r="AF39" s="406" t="s">
        <v>29</v>
      </c>
      <c r="AG39" s="406" t="s">
        <v>83</v>
      </c>
      <c r="AH39" s="406" t="s">
        <v>84</v>
      </c>
      <c r="AI39" s="410" t="str">
        <f>K6</f>
        <v>一般</v>
      </c>
      <c r="AJ39" s="411" t="str">
        <f>L6</f>
        <v>介護医療</v>
      </c>
      <c r="AK39" s="412" t="str">
        <f>M6</f>
        <v>個人年金</v>
      </c>
      <c r="AL39" s="4"/>
      <c r="AM39" s="4"/>
      <c r="AP39" s="498">
        <v>-1000000</v>
      </c>
      <c r="AQ39" s="498">
        <f ca="1">AQ35</f>
        <v>50000</v>
      </c>
      <c r="AR39" s="550">
        <v>0</v>
      </c>
      <c r="AS39" s="551">
        <f ca="1">80000-AW35</f>
        <v>40000</v>
      </c>
      <c r="AT39" s="493"/>
      <c r="AU39" s="498">
        <v>-1000000</v>
      </c>
      <c r="AV39" s="498">
        <f ca="1">AQ36</f>
        <v>46793</v>
      </c>
      <c r="AW39" s="548">
        <f ca="1">IF(AY5=AY6,0,MAX(0,100000-AQ36))</f>
        <v>0</v>
      </c>
      <c r="AX39" s="482"/>
      <c r="AY39" s="482"/>
      <c r="BA39" s="41"/>
    </row>
    <row r="40" spans="13:53" ht="20.25" customHeight="1" thickBot="1">
      <c r="AC40" s="665" t="str">
        <f ca="1">AJ37&amp;"枚目まで"</f>
        <v>5枚目まで</v>
      </c>
      <c r="AD40" s="665"/>
      <c r="AE40" s="99" t="s">
        <v>102</v>
      </c>
      <c r="AF40" s="9">
        <f ca="1">DSUM(K6:Y27,Y6,AI39:AI40)</f>
        <v>150371</v>
      </c>
      <c r="AG40" s="9">
        <f ca="1">DSUM(L6:Z27,Z6,AJ39:AJ40)</f>
        <v>208026</v>
      </c>
      <c r="AH40" s="102">
        <f ca="1">DSUM(M6:AB27,AB6,AK39:AK40)</f>
        <v>96793</v>
      </c>
      <c r="AI40" s="104" t="str">
        <f ca="1">"&lt;"&amp;(AJ37*4+1)</f>
        <v>&lt;21</v>
      </c>
      <c r="AJ40" s="106" t="str">
        <f ca="1">"&lt;"&amp;(AJ37*3+1)</f>
        <v>&lt;16</v>
      </c>
      <c r="AK40" s="105" t="str">
        <f ca="1">"&lt;"&amp;(AJ37*3+1)</f>
        <v>&lt;16</v>
      </c>
      <c r="AL40" s="4"/>
      <c r="AM40" s="4"/>
      <c r="AP40" s="498">
        <v>20001</v>
      </c>
      <c r="AQ40" s="498">
        <f ca="1">ROUNDUP(AQ35*0.5+10000,0)</f>
        <v>35000</v>
      </c>
      <c r="AR40" s="550">
        <v>20001</v>
      </c>
      <c r="AS40" s="551">
        <f ca="1">80000-((AW35-20000)*2+20000)</f>
        <v>20000</v>
      </c>
      <c r="AT40" s="493"/>
      <c r="AU40" s="498">
        <v>25001</v>
      </c>
      <c r="AV40" s="498">
        <f ca="1">ROUNDUP(AQ36*0.5+12500,0)</f>
        <v>35897</v>
      </c>
      <c r="AW40" s="482"/>
      <c r="AX40" s="482"/>
      <c r="AY40" s="482"/>
      <c r="BA40" s="41"/>
    </row>
    <row r="41" spans="13:53" ht="20.25" customHeight="1">
      <c r="AC41" s="874"/>
      <c r="AD41" s="874"/>
      <c r="AE41" s="124"/>
      <c r="AF41" s="124"/>
      <c r="AG41" s="124"/>
      <c r="AH41" s="171"/>
      <c r="AI41" s="413" t="str">
        <f>AI39</f>
        <v>一般</v>
      </c>
      <c r="AJ41" s="414" t="str">
        <f>X6</f>
        <v>新旧区分</v>
      </c>
      <c r="AK41" s="410" t="str">
        <f>AK39</f>
        <v>個人年金</v>
      </c>
      <c r="AL41" s="414" t="str">
        <f>AA6</f>
        <v>新旧区分2</v>
      </c>
      <c r="AM41" s="4"/>
      <c r="AP41" s="498">
        <v>40001</v>
      </c>
      <c r="AQ41" s="498">
        <f ca="1">ROUNDUP(AQ35*0.25+20000,0)</f>
        <v>32500</v>
      </c>
      <c r="AR41" s="550">
        <v>30001</v>
      </c>
      <c r="AS41" s="551">
        <f ca="1">80000-((AW35-30000)*4+40000)</f>
        <v>0</v>
      </c>
      <c r="AT41" s="493"/>
      <c r="AU41" s="498">
        <v>50001</v>
      </c>
      <c r="AV41" s="498">
        <f ca="1">ROUNDUP(AQ36*0.25+25000,0)</f>
        <v>36699</v>
      </c>
      <c r="AW41" s="482"/>
      <c r="AX41" s="482"/>
      <c r="AY41" s="482"/>
      <c r="BA41" s="41"/>
    </row>
    <row r="42" spans="13:53" ht="20.25" customHeight="1" thickBot="1">
      <c r="AC42" s="665" t="str">
        <f ca="1">AJ37&amp;"枚目まで"</f>
        <v>5枚目まで</v>
      </c>
      <c r="AD42" s="665"/>
      <c r="AE42" s="99" t="s">
        <v>2</v>
      </c>
      <c r="AF42" s="9">
        <f ca="1">DSUM(K6:Y27,Y6,AI41:AJ42)</f>
        <v>92347</v>
      </c>
      <c r="AG42" s="97"/>
      <c r="AH42" s="9">
        <f ca="1">DSUM(K6:AB27,AB6,AK41:AL42)</f>
        <v>46793</v>
      </c>
      <c r="AI42" s="103" t="str">
        <f ca="1">AI40</f>
        <v>&lt;21</v>
      </c>
      <c r="AJ42" s="415" t="s">
        <v>104</v>
      </c>
      <c r="AK42" s="104" t="str">
        <f ca="1">AK40</f>
        <v>&lt;16</v>
      </c>
      <c r="AL42" s="415" t="s">
        <v>104</v>
      </c>
      <c r="AM42" s="4"/>
      <c r="AP42" s="498">
        <v>80001</v>
      </c>
      <c r="AQ42" s="498">
        <v>40000</v>
      </c>
      <c r="AR42" s="550">
        <v>40001</v>
      </c>
      <c r="AS42" s="552">
        <v>0</v>
      </c>
      <c r="AT42" s="493"/>
      <c r="AU42" s="498">
        <v>100001</v>
      </c>
      <c r="AV42" s="498">
        <v>50000</v>
      </c>
      <c r="AW42" s="482"/>
      <c r="AX42" s="482"/>
      <c r="AY42" s="482"/>
    </row>
    <row r="43" spans="13:53" ht="20.25" customHeight="1">
      <c r="AC43" s="665" t="str">
        <f ca="1">AJ37&amp;"枚目まで"</f>
        <v>5枚目まで</v>
      </c>
      <c r="AD43" s="665"/>
      <c r="AE43" s="99" t="s">
        <v>105</v>
      </c>
      <c r="AF43" s="9">
        <f ca="1">AF40-AF42</f>
        <v>58024</v>
      </c>
      <c r="AG43" s="9">
        <f ca="1">AG40</f>
        <v>208026</v>
      </c>
      <c r="AH43" s="9">
        <f ca="1">AH40-AH42</f>
        <v>50000</v>
      </c>
      <c r="AI43" s="4"/>
      <c r="AJ43" s="4"/>
      <c r="AK43" s="4"/>
      <c r="AL43" s="4"/>
      <c r="AM43" s="4"/>
      <c r="AP43" s="482"/>
      <c r="AQ43" s="494" t="s">
        <v>7</v>
      </c>
      <c r="AR43" s="482"/>
      <c r="AS43" s="549">
        <f ca="1">VLOOKUP(MAX(0,AW35),AR39:AS42,2)</f>
        <v>0</v>
      </c>
      <c r="AT43" s="493"/>
      <c r="AU43" s="493"/>
      <c r="AV43" s="494" t="s">
        <v>7</v>
      </c>
      <c r="AW43" s="482"/>
      <c r="AX43" s="482"/>
      <c r="AY43" s="482"/>
    </row>
    <row r="44" spans="13:53" ht="20.25" customHeight="1">
      <c r="AL44" s="4"/>
      <c r="AS44" s="4"/>
      <c r="AV44" s="4"/>
      <c r="AW44" s="4"/>
    </row>
    <row r="45" spans="13:53" ht="20.25" customHeight="1">
      <c r="AC45" s="665" t="s">
        <v>106</v>
      </c>
      <c r="AD45" s="665"/>
      <c r="AE45" s="25" t="s">
        <v>2</v>
      </c>
      <c r="AF45" s="9">
        <f ca="1">AF36-AF42</f>
        <v>0</v>
      </c>
      <c r="AG45" s="97"/>
      <c r="AH45" s="9">
        <f ca="1">AH36-AH42</f>
        <v>0</v>
      </c>
      <c r="AL45" s="4"/>
    </row>
    <row r="46" spans="13:53" ht="20.25" customHeight="1">
      <c r="AC46" s="665" t="s">
        <v>106</v>
      </c>
      <c r="AD46" s="665"/>
      <c r="AE46" s="25" t="s">
        <v>105</v>
      </c>
      <c r="AF46" s="107">
        <f ca="1">AF37-AF43</f>
        <v>0</v>
      </c>
      <c r="AG46" s="107">
        <f ca="1">AG37-AG43</f>
        <v>0</v>
      </c>
      <c r="AH46" s="107">
        <f ca="1">AH37-AH43</f>
        <v>0</v>
      </c>
      <c r="AL46" s="4"/>
    </row>
    <row r="47" spans="13:53" ht="20.25" customHeight="1">
      <c r="AL47" s="4"/>
      <c r="AU47" s="41"/>
      <c r="AV47" s="4"/>
    </row>
    <row r="48" spans="13:53" ht="20.25" customHeight="1">
      <c r="AL48" s="4"/>
      <c r="AU48" s="41"/>
      <c r="AV48" s="4"/>
    </row>
    <row r="49" spans="14:48" ht="20.25" customHeight="1">
      <c r="AL49" s="4"/>
      <c r="AU49" s="41"/>
      <c r="AV49" s="4"/>
    </row>
    <row r="50" spans="14:48" ht="20.25" customHeight="1" thickBot="1">
      <c r="U50" s="116"/>
      <c r="V50" t="s">
        <v>109</v>
      </c>
      <c r="Y50" t="s">
        <v>112</v>
      </c>
      <c r="AE50" t="s">
        <v>112</v>
      </c>
      <c r="AU50" s="41"/>
      <c r="AV50" s="4"/>
    </row>
    <row r="51" spans="14:48" ht="20.25" customHeight="1" thickBot="1">
      <c r="N51" s="447"/>
      <c r="O51" s="447"/>
      <c r="P51" s="447"/>
      <c r="Q51" s="511"/>
      <c r="R51" s="93"/>
      <c r="S51" s="94" t="s">
        <v>88</v>
      </c>
      <c r="T51" s="95"/>
      <c r="U51" s="94" t="s">
        <v>89</v>
      </c>
      <c r="V51" s="95"/>
      <c r="W51" s="94" t="s">
        <v>90</v>
      </c>
      <c r="X51" s="95"/>
      <c r="Y51" s="96" t="s">
        <v>91</v>
      </c>
      <c r="Z51" s="90" t="s">
        <v>92</v>
      </c>
      <c r="AA51" s="65"/>
      <c r="AB51" s="95"/>
      <c r="AC51" s="94" t="s">
        <v>100</v>
      </c>
      <c r="AD51" s="95"/>
      <c r="AE51" s="96" t="s">
        <v>86</v>
      </c>
      <c r="AU51" s="41"/>
      <c r="AV51" s="4"/>
    </row>
    <row r="52" spans="14:48" ht="20.25" customHeight="1">
      <c r="N52" s="450" t="s">
        <v>29</v>
      </c>
      <c r="O52" s="450" t="s">
        <v>0</v>
      </c>
      <c r="P52" s="448"/>
      <c r="Q52" s="450" t="s">
        <v>543</v>
      </c>
      <c r="R52" s="91">
        <f>IF(OR(S52=0,COUNTIF(S$51:S51,S52)&gt;0),"",MAX(R$51:R51)+1)</f>
        <v>1</v>
      </c>
      <c r="S52" s="92" t="str">
        <f t="shared" ref="S52:S62" si="58">R7</f>
        <v>あああ保険</v>
      </c>
      <c r="T52" s="91">
        <v>1</v>
      </c>
      <c r="U52" s="115" t="str">
        <f>'①入力(基礎控除)'!C5</f>
        <v>あああ１</v>
      </c>
      <c r="V52" s="91">
        <v>1</v>
      </c>
      <c r="W52" s="115" t="str">
        <f>U52</f>
        <v>あああ１</v>
      </c>
      <c r="X52" s="91">
        <v>1</v>
      </c>
      <c r="Y52" s="119" t="s">
        <v>111</v>
      </c>
      <c r="Z52" s="5"/>
      <c r="AA52" s="22"/>
      <c r="AB52" s="91">
        <v>1</v>
      </c>
      <c r="AC52" s="115" t="str">
        <f>U52</f>
        <v>あああ１</v>
      </c>
      <c r="AD52" s="91">
        <v>1</v>
      </c>
      <c r="AE52" s="119" t="s">
        <v>108</v>
      </c>
    </row>
    <row r="53" spans="14:48" ht="20.25" customHeight="1">
      <c r="N53" s="451" t="s">
        <v>394</v>
      </c>
      <c r="O53" s="451" t="s">
        <v>2</v>
      </c>
      <c r="P53" s="449"/>
      <c r="Q53" s="451" t="s">
        <v>396</v>
      </c>
      <c r="R53" s="79" t="str">
        <f>IF(OR(S53=0,COUNTIF(S$51:S52,S53)&gt;0),"",MAX(R$51:R52)+1)</f>
        <v/>
      </c>
      <c r="S53" s="80" t="str">
        <f t="shared" si="58"/>
        <v>あああ保険</v>
      </c>
      <c r="T53" s="79" t="str">
        <f>IF(OR(U53=0,COUNTIF(U$51:U52,U53)&gt;0),"",MAX(T$51:T52)+1)</f>
        <v/>
      </c>
      <c r="U53" s="80" t="str">
        <f t="shared" ref="U53:U64" si="59">U7</f>
        <v>あああ１</v>
      </c>
      <c r="V53" s="79">
        <f>IF(OR(W53=0,COUNTIF(W$51:W52,W53)&gt;0),"",MAX(V$51:V52)+1)</f>
        <v>2</v>
      </c>
      <c r="W53" s="80" t="str">
        <f t="shared" ref="W53:W64" si="60">V7</f>
        <v>ああおおお１</v>
      </c>
      <c r="X53" s="79">
        <f>IF(OR(Y53=0,COUNTIF(Y$51:Y52,Y53)&gt;0),"",MAX(X$51:X52)+1)</f>
        <v>2</v>
      </c>
      <c r="Y53" s="80" t="str">
        <f t="shared" ref="Y53:Y63" si="61">W7</f>
        <v>子</v>
      </c>
      <c r="Z53" s="5" t="s">
        <v>93</v>
      </c>
      <c r="AA53" s="108"/>
      <c r="AB53" s="79" t="str">
        <f>IF(OR(AC53=0,COUNTIF(AC$51:AC52,AC53)&gt;0),"",MAX(AB$51:AB52)+1)</f>
        <v/>
      </c>
      <c r="AC53" s="92">
        <f t="shared" ref="AC53:AC63" si="62">AE7</f>
        <v>0</v>
      </c>
      <c r="AD53" s="79" t="str">
        <f>IF(OR(AE53=0,COUNTIF(AE$51:AE52,AE53)&gt;0),"",MAX(AD$51:AD52)+1)</f>
        <v/>
      </c>
      <c r="AE53" s="80">
        <f t="shared" ref="AE53:AE63" si="63">AF7</f>
        <v>0</v>
      </c>
    </row>
    <row r="54" spans="14:48" ht="20.25" customHeight="1">
      <c r="N54" s="451" t="s">
        <v>84</v>
      </c>
      <c r="O54" s="451"/>
      <c r="P54" s="449"/>
      <c r="Q54" s="449"/>
      <c r="R54" s="79" t="str">
        <f>IF(OR(S54=0,COUNTIF(S$51:S53,S54)&gt;0),"",MAX(R$51:R53)+1)</f>
        <v/>
      </c>
      <c r="S54" s="80">
        <f t="shared" si="58"/>
        <v>0</v>
      </c>
      <c r="T54" s="79">
        <f>IF(OR(U54=0,COUNTIF(U$51:U53,U54)&gt;0),"",MAX(T$51:T53)+1)</f>
        <v>2</v>
      </c>
      <c r="U54" s="80" t="str">
        <f t="shared" si="59"/>
        <v>あああ２</v>
      </c>
      <c r="V54" s="79" t="str">
        <f>IF(OR(W54=0,COUNTIF(W$51:W53,W54)&gt;0),"",MAX(V$51:V53)+1)</f>
        <v/>
      </c>
      <c r="W54" s="80" t="str">
        <f t="shared" si="60"/>
        <v>あああ１</v>
      </c>
      <c r="X54" s="79" t="str">
        <f>IF(OR(Y54=0,COUNTIF(Y$51:Y53,Y54)&gt;0),"",MAX(X$51:X53)+1)</f>
        <v/>
      </c>
      <c r="Y54" s="80" t="str">
        <f t="shared" si="61"/>
        <v>本人</v>
      </c>
      <c r="Z54" s="5" t="s">
        <v>94</v>
      </c>
      <c r="AA54" s="108"/>
      <c r="AB54" s="79" t="str">
        <f>IF(OR(AC54=0,COUNTIF(AC$51:AC53,AC54)&gt;0),"",MAX(AB$51:AB53)+1)</f>
        <v/>
      </c>
      <c r="AC54" s="92">
        <f t="shared" si="62"/>
        <v>0</v>
      </c>
      <c r="AD54" s="79" t="str">
        <f>IF(OR(AE54=0,COUNTIF(AE$51:AE53,AE54)&gt;0),"",MAX(AD$51:AD53)+1)</f>
        <v/>
      </c>
      <c r="AE54" s="80">
        <f t="shared" si="63"/>
        <v>0</v>
      </c>
    </row>
    <row r="55" spans="14:48" ht="20.25" customHeight="1">
      <c r="N55" s="65"/>
      <c r="O55" s="65"/>
      <c r="P55" s="65"/>
      <c r="Q55" s="65"/>
      <c r="R55" s="79" t="str">
        <f>IF(OR(S55=0,COUNTIF(S$51:S54,S55)&gt;0),"",MAX(R$51:R54)+1)</f>
        <v/>
      </c>
      <c r="S55" s="80">
        <f t="shared" si="58"/>
        <v>0</v>
      </c>
      <c r="T55" s="79" t="str">
        <f>IF(OR(U55=0,COUNTIF(U$51:U54,U55)&gt;0),"",MAX(T$51:T54)+1)</f>
        <v/>
      </c>
      <c r="U55" s="80">
        <f t="shared" si="59"/>
        <v>0</v>
      </c>
      <c r="V55" s="79" t="str">
        <f>IF(OR(W55=0,COUNTIF(W$51:W54,W55)&gt;0),"",MAX(V$51:V54)+1)</f>
        <v/>
      </c>
      <c r="W55" s="80">
        <f t="shared" si="60"/>
        <v>0</v>
      </c>
      <c r="X55" s="79" t="str">
        <f>IF(OR(Y55=0,COUNTIF(Y$51:Y54,Y55)&gt;0),"",MAX(X$51:X54)+1)</f>
        <v/>
      </c>
      <c r="Y55" s="80">
        <f t="shared" si="61"/>
        <v>0</v>
      </c>
      <c r="AB55" s="79" t="str">
        <f>IF(OR(AC55=0,COUNTIF(AC$51:AC54,AC55)&gt;0),"",MAX(AB$51:AB54)+1)</f>
        <v/>
      </c>
      <c r="AC55" s="92">
        <f t="shared" si="62"/>
        <v>0</v>
      </c>
      <c r="AD55" s="79" t="str">
        <f>IF(OR(AE55=0,COUNTIF(AE$51:AE54,AE55)&gt;0),"",MAX(AD$51:AD54)+1)</f>
        <v/>
      </c>
      <c r="AE55" s="80">
        <f t="shared" si="63"/>
        <v>0</v>
      </c>
    </row>
    <row r="56" spans="14:48" ht="20.25" customHeight="1">
      <c r="N56" s="65"/>
      <c r="O56" s="65"/>
      <c r="P56" s="65"/>
      <c r="Q56" s="65"/>
      <c r="R56" s="79">
        <f>IF(OR(S56=0,COUNTIF(S$51:S55,S56)&gt;0),"",MAX(R$51:R55)+1)</f>
        <v>2</v>
      </c>
      <c r="S56" s="80" t="str">
        <f t="shared" si="58"/>
        <v>おおおおおおおお保険</v>
      </c>
      <c r="T56" s="79" t="str">
        <f>IF(OR(U56=0,COUNTIF(U$51:U55,U56)&gt;0),"",MAX(T$51:T55)+1)</f>
        <v/>
      </c>
      <c r="U56" s="80">
        <f t="shared" si="59"/>
        <v>0</v>
      </c>
      <c r="V56" s="79" t="str">
        <f>IF(OR(W56=0,COUNTIF(W$51:W55,W56)&gt;0),"",MAX(V$51:V55)+1)</f>
        <v/>
      </c>
      <c r="W56" s="80">
        <f t="shared" si="60"/>
        <v>0</v>
      </c>
      <c r="X56" s="79" t="str">
        <f>IF(OR(Y56=0,COUNTIF(Y$51:Y55,Y56)&gt;0),"",MAX(X$51:X55)+1)</f>
        <v/>
      </c>
      <c r="Y56" s="80">
        <f t="shared" si="61"/>
        <v>0</v>
      </c>
      <c r="AB56" s="79" t="str">
        <f>IF(OR(AC56=0,COUNTIF(AC$51:AC55,AC56)&gt;0),"",MAX(AB$51:AB55)+1)</f>
        <v/>
      </c>
      <c r="AC56" s="92" t="str">
        <f t="shared" si="62"/>
        <v>あああ１</v>
      </c>
      <c r="AD56" s="79" t="str">
        <f>IF(OR(AE56=0,COUNTIF(AE$51:AE55,AE56)&gt;0),"",MAX(AD$51:AD55)+1)</f>
        <v/>
      </c>
      <c r="AE56" s="80" t="str">
        <f t="shared" si="63"/>
        <v>本人</v>
      </c>
      <c r="AK56" s="82"/>
    </row>
    <row r="57" spans="14:48" ht="20.25" customHeight="1">
      <c r="N57" s="65"/>
      <c r="O57" s="65"/>
      <c r="P57" s="65"/>
      <c r="Q57" s="65"/>
      <c r="R57" s="79" t="str">
        <f>IF(OR(S57=0,COUNTIF(S$51:S56,S57)&gt;0),"",MAX(R$51:R56)+1)</f>
        <v/>
      </c>
      <c r="S57" s="80">
        <f t="shared" si="58"/>
        <v>0</v>
      </c>
      <c r="T57" s="79">
        <f>IF(OR(U57=0,COUNTIF(U$51:U56,U57)&gt;0),"",MAX(T$51:T56)+1)</f>
        <v>3</v>
      </c>
      <c r="U57" s="80" t="str">
        <f t="shared" si="59"/>
        <v>あああ３</v>
      </c>
      <c r="V57" s="79">
        <f>IF(OR(W57=0,COUNTIF(W$51:W56,W57)&gt;0),"",MAX(V$51:V56)+1)</f>
        <v>3</v>
      </c>
      <c r="W57" s="80" t="str">
        <f t="shared" si="60"/>
        <v>おおおお</v>
      </c>
      <c r="X57" s="79">
        <f>IF(OR(Y57=0,COUNTIF(Y$51:Y56,Y57)&gt;0),"",MAX(X$51:X56)+1)</f>
        <v>3</v>
      </c>
      <c r="Y57" s="80" t="str">
        <f t="shared" si="61"/>
        <v>母</v>
      </c>
      <c r="AB57" s="79">
        <f>IF(OR(AC57=0,COUNTIF(AC$51:AC56,AC57)&gt;0),"",MAX(AB$51:AB56)+1)</f>
        <v>2</v>
      </c>
      <c r="AC57" s="92" t="str">
        <f t="shared" si="62"/>
        <v>おおおおお1</v>
      </c>
      <c r="AD57" s="79">
        <f>IF(OR(AE57=0,COUNTIF(AE$51:AE56,AE57)&gt;0),"",MAX(AD$51:AD56)+1)</f>
        <v>2</v>
      </c>
      <c r="AE57" s="80" t="str">
        <f t="shared" si="63"/>
        <v>母1</v>
      </c>
      <c r="AK57" s="82"/>
    </row>
    <row r="58" spans="14:48" ht="20.25" customHeight="1">
      <c r="N58" s="65"/>
      <c r="O58" s="65"/>
      <c r="P58" s="65"/>
      <c r="Q58" s="65"/>
      <c r="R58" s="79" t="str">
        <f>IF(OR(S58=0,COUNTIF(S$51:S57,S58)&gt;0),"",MAX(R$51:R57)+1)</f>
        <v/>
      </c>
      <c r="S58" s="80">
        <f t="shared" si="58"/>
        <v>0</v>
      </c>
      <c r="T58" s="79" t="str">
        <f>IF(OR(U58=0,COUNTIF(U$51:U57,U58)&gt;0),"",MAX(T$51:T57)+1)</f>
        <v/>
      </c>
      <c r="U58" s="80">
        <f t="shared" si="59"/>
        <v>0</v>
      </c>
      <c r="V58" s="79" t="str">
        <f>IF(OR(W58=0,COUNTIF(W$51:W57,W58)&gt;0),"",MAX(V$51:V57)+1)</f>
        <v/>
      </c>
      <c r="W58" s="80">
        <f t="shared" si="60"/>
        <v>0</v>
      </c>
      <c r="X58" s="79" t="str">
        <f>IF(OR(Y58=0,COUNTIF(Y$51:Y57,Y58)&gt;0),"",MAX(X$51:X57)+1)</f>
        <v/>
      </c>
      <c r="Y58" s="80">
        <f t="shared" si="61"/>
        <v>0</v>
      </c>
      <c r="AB58" s="79">
        <f>IF(OR(AC58=0,COUNTIF(AC$51:AC57,AC58)&gt;0),"",MAX(AB$51:AB57)+1)</f>
        <v>3</v>
      </c>
      <c r="AC58" s="92" t="str">
        <f t="shared" si="62"/>
        <v>おおおおお2</v>
      </c>
      <c r="AD58" s="79">
        <f>IF(OR(AE58=0,COUNTIF(AE$51:AE57,AE58)&gt;0),"",MAX(AD$51:AD57)+1)</f>
        <v>3</v>
      </c>
      <c r="AE58" s="80" t="str">
        <f t="shared" si="63"/>
        <v>母2</v>
      </c>
      <c r="AK58" s="82"/>
    </row>
    <row r="59" spans="14:48" ht="20.25" customHeight="1">
      <c r="N59" s="65"/>
      <c r="O59" s="65"/>
      <c r="P59" s="65"/>
      <c r="Q59" s="65"/>
      <c r="R59" s="79">
        <f>IF(OR(S59=0,COUNTIF(S$51:S58,S59)&gt;0),"",MAX(R$51:R58)+1)</f>
        <v>3</v>
      </c>
      <c r="S59" s="80" t="str">
        <f t="shared" si="58"/>
        <v>うううううう保険</v>
      </c>
      <c r="T59" s="79" t="str">
        <f>IF(OR(U59=0,COUNTIF(U$51:U58,U59)&gt;0),"",MAX(T$51:T58)+1)</f>
        <v/>
      </c>
      <c r="U59" s="80">
        <f t="shared" si="59"/>
        <v>0</v>
      </c>
      <c r="V59" s="79" t="str">
        <f>IF(OR(W59=0,COUNTIF(W$51:W58,W59)&gt;0),"",MAX(V$51:V58)+1)</f>
        <v/>
      </c>
      <c r="W59" s="80">
        <f t="shared" si="60"/>
        <v>0</v>
      </c>
      <c r="X59" s="79" t="str">
        <f>IF(OR(Y59=0,COUNTIF(Y$51:Y58,Y59)&gt;0),"",MAX(X$51:X58)+1)</f>
        <v/>
      </c>
      <c r="Y59" s="80">
        <f t="shared" si="61"/>
        <v>0</v>
      </c>
      <c r="AB59" s="79">
        <f>IF(OR(AC59=0,COUNTIF(AC$51:AC58,AC59)&gt;0),"",MAX(AB$51:AB58)+1)</f>
        <v>4</v>
      </c>
      <c r="AC59" s="92" t="str">
        <f t="shared" si="62"/>
        <v>おおおおお3</v>
      </c>
      <c r="AD59" s="79">
        <f>IF(OR(AE59=0,COUNTIF(AE$51:AE58,AE59)&gt;0),"",MAX(AD$51:AD58)+1)</f>
        <v>4</v>
      </c>
      <c r="AE59" s="80" t="str">
        <f t="shared" si="63"/>
        <v>母3</v>
      </c>
      <c r="AK59" s="82"/>
    </row>
    <row r="60" spans="14:48" ht="20.25" customHeight="1">
      <c r="N60" s="65"/>
      <c r="O60" s="65"/>
      <c r="P60" s="65"/>
      <c r="Q60" s="65"/>
      <c r="R60" s="79" t="str">
        <f>IF(OR(S60=0,COUNTIF(S$51:S59,S60)&gt;0),"",MAX(R$51:R59)+1)</f>
        <v/>
      </c>
      <c r="S60" s="80">
        <f t="shared" si="58"/>
        <v>0</v>
      </c>
      <c r="T60" s="79">
        <f>IF(OR(U60=0,COUNTIF(U$51:U59,U60)&gt;0),"",MAX(T$51:T59)+1)</f>
        <v>4</v>
      </c>
      <c r="U60" s="80" t="str">
        <f t="shared" si="59"/>
        <v>ううう６</v>
      </c>
      <c r="V60" s="79">
        <f>IF(OR(W60=0,COUNTIF(W$51:W59,W60)&gt;0),"",MAX(V$51:V59)+1)</f>
        <v>4</v>
      </c>
      <c r="W60" s="80" t="str">
        <f t="shared" si="60"/>
        <v>ううう８</v>
      </c>
      <c r="X60" s="79">
        <f>IF(OR(Y60=0,COUNTIF(Y$51:Y59,Y60)&gt;0),"",MAX(X$51:X59)+1)</f>
        <v>4</v>
      </c>
      <c r="Y60" s="80" t="str">
        <f t="shared" si="61"/>
        <v>父</v>
      </c>
      <c r="AB60" s="79" t="str">
        <f>IF(OR(AC60=0,COUNTIF(AC$51:AC59,AC60)&gt;0),"",MAX(AB$51:AB59)+1)</f>
        <v/>
      </c>
      <c r="AC60" s="92">
        <f t="shared" si="62"/>
        <v>0</v>
      </c>
      <c r="AD60" s="79" t="str">
        <f>IF(OR(AE60=0,COUNTIF(AE$51:AE59,AE60)&gt;0),"",MAX(AD$51:AD59)+1)</f>
        <v/>
      </c>
      <c r="AE60" s="80">
        <f t="shared" si="63"/>
        <v>0</v>
      </c>
      <c r="AK60" s="82"/>
    </row>
    <row r="61" spans="14:48" ht="20.25" customHeight="1">
      <c r="N61" s="65"/>
      <c r="O61" s="65"/>
      <c r="P61" s="65"/>
      <c r="Q61" s="65"/>
      <c r="R61" s="79" t="str">
        <f>IF(OR(S61=0,COUNTIF(S$51:S60,S61)&gt;0),"",MAX(R$51:R60)+1)</f>
        <v/>
      </c>
      <c r="S61" s="80">
        <f t="shared" si="58"/>
        <v>0</v>
      </c>
      <c r="T61" s="79" t="str">
        <f>IF(OR(U61=0,COUNTIF(U$51:U60,U61)&gt;0),"",MAX(T$51:T60)+1)</f>
        <v/>
      </c>
      <c r="U61" s="80">
        <f t="shared" si="59"/>
        <v>0</v>
      </c>
      <c r="V61" s="79" t="str">
        <f>IF(OR(W61=0,COUNTIF(W$51:W60,W61)&gt;0),"",MAX(V$51:V60)+1)</f>
        <v/>
      </c>
      <c r="W61" s="80">
        <f t="shared" si="60"/>
        <v>0</v>
      </c>
      <c r="X61" s="79" t="str">
        <f>IF(OR(Y61=0,COUNTIF(Y$51:Y60,Y61)&gt;0),"",MAX(X$51:X60)+1)</f>
        <v/>
      </c>
      <c r="Y61" s="80">
        <f t="shared" si="61"/>
        <v>0</v>
      </c>
      <c r="AB61" s="79" t="str">
        <f>IF(OR(AC61=0,COUNTIF(AC$51:AC60,AC61)&gt;0),"",MAX(AB$51:AB60)+1)</f>
        <v/>
      </c>
      <c r="AC61" s="92">
        <f t="shared" si="62"/>
        <v>0</v>
      </c>
      <c r="AD61" s="79" t="str">
        <f>IF(OR(AE61=0,COUNTIF(AE$51:AE60,AE61)&gt;0),"",MAX(AD$51:AD60)+1)</f>
        <v/>
      </c>
      <c r="AE61" s="80">
        <f t="shared" si="63"/>
        <v>0</v>
      </c>
      <c r="AK61" s="82"/>
    </row>
    <row r="62" spans="14:48" ht="20.25" customHeight="1">
      <c r="N62" s="65"/>
      <c r="O62" s="65"/>
      <c r="P62" s="65"/>
      <c r="Q62" s="65"/>
      <c r="R62" s="79" t="str">
        <f>IF(OR(S62=0,COUNTIF(S$51:S61,S62)&gt;0),"",MAX(R$51:R61)+1)</f>
        <v/>
      </c>
      <c r="S62" s="80">
        <f t="shared" si="58"/>
        <v>0</v>
      </c>
      <c r="T62" s="79" t="str">
        <f>IF(OR(U62=0,COUNTIF(U$51:U61,U62)&gt;0),"",MAX(T$51:T61)+1)</f>
        <v/>
      </c>
      <c r="U62" s="80">
        <f t="shared" si="59"/>
        <v>0</v>
      </c>
      <c r="V62" s="79" t="str">
        <f>IF(OR(W62=0,COUNTIF(W$51:W61,W62)&gt;0),"",MAX(V$51:V61)+1)</f>
        <v/>
      </c>
      <c r="W62" s="80">
        <f t="shared" si="60"/>
        <v>0</v>
      </c>
      <c r="X62" s="79" t="str">
        <f>IF(OR(Y62=0,COUNTIF(Y$51:Y61,Y62)&gt;0),"",MAX(X$51:X61)+1)</f>
        <v/>
      </c>
      <c r="Y62" s="80">
        <f t="shared" si="61"/>
        <v>0</v>
      </c>
      <c r="AB62" s="79" t="str">
        <f>IF(OR(AC62=0,COUNTIF(AC$51:AC61,AC62)&gt;0),"",MAX(AB$51:AB61)+1)</f>
        <v/>
      </c>
      <c r="AC62" s="92">
        <f t="shared" si="62"/>
        <v>0</v>
      </c>
      <c r="AD62" s="79" t="str">
        <f>IF(OR(AE62=0,COUNTIF(AE$51:AE61,AE62)&gt;0),"",MAX(AD$51:AD61)+1)</f>
        <v/>
      </c>
      <c r="AE62" s="80">
        <f t="shared" si="63"/>
        <v>0</v>
      </c>
      <c r="AK62" s="82"/>
    </row>
    <row r="63" spans="14:48" ht="20.25" customHeight="1">
      <c r="N63" s="65"/>
      <c r="O63" s="65"/>
      <c r="P63" s="65"/>
      <c r="Q63" s="65"/>
      <c r="R63" s="79" t="str">
        <f>IF(OR(S63=0,COUNTIF(S$51:S62,S63)&gt;0),"",MAX(R$51:R62)+1)</f>
        <v/>
      </c>
      <c r="S63" s="80">
        <f>R20</f>
        <v>0</v>
      </c>
      <c r="T63" s="79" t="str">
        <f>IF(OR(U63=0,COUNTIF(U$51:U62,U63)&gt;0),"",MAX(T$51:T62)+1)</f>
        <v/>
      </c>
      <c r="U63" s="80">
        <f t="shared" si="59"/>
        <v>0</v>
      </c>
      <c r="V63" s="79" t="str">
        <f>IF(OR(W63=0,COUNTIF(W$51:W62,W63)&gt;0),"",MAX(V$51:V62)+1)</f>
        <v/>
      </c>
      <c r="W63" s="80">
        <f t="shared" si="60"/>
        <v>0</v>
      </c>
      <c r="X63" s="79" t="str">
        <f>IF(OR(Y63=0,COUNTIF(Y$51:Y62,Y63)&gt;0),"",MAX(X$51:X62)+1)</f>
        <v/>
      </c>
      <c r="Y63" s="80">
        <f t="shared" si="61"/>
        <v>0</v>
      </c>
      <c r="AB63" s="79" t="str">
        <f>IF(OR(AC63=0,COUNTIF(AC$51:AC62,AC63)&gt;0),"",MAX(AB$51:AB62)+1)</f>
        <v/>
      </c>
      <c r="AC63" s="92">
        <f t="shared" si="62"/>
        <v>0</v>
      </c>
      <c r="AD63" s="79" t="str">
        <f>IF(OR(AE63=0,COUNTIF(AE$51:AE62,AE63)&gt;0),"",MAX(AD$51:AD62)+1)</f>
        <v/>
      </c>
      <c r="AE63" s="80">
        <f t="shared" si="63"/>
        <v>0</v>
      </c>
      <c r="AK63" s="82"/>
    </row>
    <row r="64" spans="14:48" ht="20.25" customHeight="1">
      <c r="N64" s="65"/>
      <c r="O64" s="65"/>
      <c r="P64" s="65"/>
      <c r="Q64" s="65"/>
      <c r="R64" s="87" t="str">
        <f>IF(OR(S64=0,COUNTIF(S$51:S63,S64)&gt;0),"",MAX(R$51:R63)+1)</f>
        <v/>
      </c>
      <c r="S64" s="80">
        <f>R26</f>
        <v>0</v>
      </c>
      <c r="T64" s="87" t="str">
        <f>IF(OR(U64=0,COUNTIF(U$51:U63,U64)&gt;0),"",MAX(T$51:T63)+1)</f>
        <v/>
      </c>
      <c r="U64" s="80" t="str">
        <f t="shared" si="59"/>
        <v>あああ１</v>
      </c>
      <c r="V64" s="87" t="str">
        <f>IF(OR(W64=0,COUNTIF(W$51:W63,W64)&gt;0),"",MAX(V$51:V63)+1)</f>
        <v/>
      </c>
      <c r="W64" s="80" t="str">
        <f t="shared" si="60"/>
        <v>あああ１</v>
      </c>
      <c r="X64" s="87" t="str">
        <f>IF(OR(Y64=0,COUNTIF(Y$51:Y63,Y64)&gt;0),"",MAX(X$51:X63)+1)</f>
        <v/>
      </c>
      <c r="Y64" s="80">
        <f>W20</f>
        <v>0</v>
      </c>
      <c r="AB64" s="87" t="str">
        <f>IF(OR(AC64=0,COUNTIF(AC$51:AC63,AC64)&gt;0),"",MAX(AB$51:AB63)+1)</f>
        <v/>
      </c>
      <c r="AC64" s="92" t="str">
        <f>AE20</f>
        <v>あああ１</v>
      </c>
      <c r="AD64" s="79" t="str">
        <f>IF(OR(AE64=0,COUNTIF(AE$51:AE63,AE64)&gt;0),"",MAX(AD$51:AD63)+1)</f>
        <v/>
      </c>
      <c r="AE64" s="80" t="str">
        <f>AF20</f>
        <v>母1</v>
      </c>
      <c r="AK64" s="82"/>
    </row>
    <row r="65" spans="14:51" ht="20.25" customHeight="1">
      <c r="N65" s="65"/>
      <c r="O65" s="65"/>
      <c r="P65" s="65"/>
      <c r="Q65" s="65"/>
      <c r="R65" s="88"/>
      <c r="S65" s="89"/>
      <c r="T65" s="88"/>
      <c r="U65" s="89"/>
      <c r="V65" s="88"/>
      <c r="W65" s="89"/>
      <c r="X65" s="88"/>
      <c r="Y65" s="89"/>
      <c r="AB65" s="88"/>
      <c r="AC65" s="89"/>
    </row>
    <row r="66" spans="14:51" ht="20.25" customHeight="1">
      <c r="N66" s="65"/>
      <c r="O66" s="65"/>
      <c r="P66" s="65"/>
      <c r="Q66" s="65"/>
      <c r="R66" s="65"/>
      <c r="S66" s="82"/>
      <c r="T66" s="65"/>
      <c r="U66" s="82"/>
      <c r="V66" s="65"/>
      <c r="W66" s="82"/>
      <c r="X66" s="65"/>
      <c r="Y66" s="82"/>
      <c r="AB66" s="65"/>
      <c r="AC66" s="82"/>
    </row>
    <row r="67" spans="14:51" ht="20.25" customHeight="1">
      <c r="N67" s="65"/>
      <c r="O67" s="65"/>
      <c r="P67" s="65"/>
      <c r="Q67" s="65"/>
      <c r="R67" s="65"/>
      <c r="S67" s="65" t="s">
        <v>54</v>
      </c>
      <c r="T67" s="65"/>
      <c r="U67" s="65" t="s">
        <v>89</v>
      </c>
      <c r="V67" s="65"/>
      <c r="W67" s="65" t="s">
        <v>85</v>
      </c>
      <c r="X67" s="65"/>
      <c r="Y67" s="65" t="s">
        <v>86</v>
      </c>
      <c r="AB67" s="65"/>
      <c r="AC67" s="65" t="s">
        <v>100</v>
      </c>
      <c r="AE67" t="s">
        <v>86</v>
      </c>
    </row>
    <row r="68" spans="14:51" ht="20.25" customHeight="1">
      <c r="N68" s="65"/>
      <c r="O68" s="65"/>
      <c r="P68" s="65"/>
      <c r="Q68" s="65"/>
      <c r="R68" s="79"/>
      <c r="S68" s="90"/>
      <c r="T68" s="81"/>
      <c r="U68" s="81"/>
      <c r="V68" s="81"/>
      <c r="W68" s="81"/>
      <c r="X68" s="81"/>
      <c r="Y68" s="81"/>
      <c r="AB68" s="81"/>
      <c r="AC68" s="81"/>
      <c r="AD68" s="81"/>
      <c r="AE68" s="81"/>
      <c r="AK68" s="65"/>
    </row>
    <row r="69" spans="14:51" ht="20.25" customHeight="1">
      <c r="N69" s="65"/>
      <c r="O69" s="65"/>
      <c r="P69" s="65"/>
      <c r="Q69" s="65"/>
      <c r="R69" s="79">
        <v>1</v>
      </c>
      <c r="S69" s="90" t="str">
        <f>IFERROR(VLOOKUP(R69,R$52:S$64,2,FALSE),"")</f>
        <v>あああ保険</v>
      </c>
      <c r="T69" s="81">
        <v>1</v>
      </c>
      <c r="U69" s="81" t="str">
        <f t="shared" ref="U69:U80" si="64">IFERROR(VLOOKUP(T69,T$52:U$64,2,FALSE),"")</f>
        <v>あああ１</v>
      </c>
      <c r="V69" s="81">
        <v>1</v>
      </c>
      <c r="W69" s="81" t="str">
        <f t="shared" ref="W69:W80" si="65">IFERROR(VLOOKUP(V69,V$52:W$64,2,FALSE),"")</f>
        <v>あああ１</v>
      </c>
      <c r="X69" s="81">
        <v>1</v>
      </c>
      <c r="Y69" s="81" t="str">
        <f t="shared" ref="Y69:Y80" si="66">IFERROR(VLOOKUP(X69,X$52:Y$64,2,FALSE),"")</f>
        <v>本人</v>
      </c>
      <c r="AB69" s="81">
        <v>1</v>
      </c>
      <c r="AC69" s="81" t="str">
        <f t="shared" ref="AC69:AC80" si="67">IFERROR(VLOOKUP(AB69,AB$52:AC$64,2,FALSE),"")</f>
        <v>あああ１</v>
      </c>
      <c r="AD69" s="81">
        <v>1</v>
      </c>
      <c r="AE69" s="81" t="str">
        <f t="shared" ref="AE69:AE80" si="68">IFERROR(VLOOKUP(AD69,AD$52:AE$64,2,FALSE),"")</f>
        <v>本人</v>
      </c>
      <c r="AK69" s="65"/>
    </row>
    <row r="70" spans="14:51" ht="20.25" customHeight="1">
      <c r="N70" s="65"/>
      <c r="O70" s="65"/>
      <c r="P70" s="65"/>
      <c r="Q70" s="65"/>
      <c r="R70" s="79">
        <v>2</v>
      </c>
      <c r="S70" s="90" t="str">
        <f>IFERROR(VLOOKUP(R70,R$52:S$64,2,FALSE),"")</f>
        <v>おおおおおおおお保険</v>
      </c>
      <c r="T70" s="81">
        <v>2</v>
      </c>
      <c r="U70" s="81" t="str">
        <f t="shared" si="64"/>
        <v>あああ２</v>
      </c>
      <c r="V70" s="81">
        <v>2</v>
      </c>
      <c r="W70" s="81" t="str">
        <f t="shared" si="65"/>
        <v>ああおおお１</v>
      </c>
      <c r="X70" s="81">
        <v>2</v>
      </c>
      <c r="Y70" s="81" t="str">
        <f t="shared" si="66"/>
        <v>子</v>
      </c>
      <c r="AB70" s="81">
        <v>2</v>
      </c>
      <c r="AC70" s="81" t="str">
        <f t="shared" si="67"/>
        <v>おおおおお1</v>
      </c>
      <c r="AD70" s="81">
        <v>2</v>
      </c>
      <c r="AE70" s="81" t="str">
        <f t="shared" si="68"/>
        <v>母1</v>
      </c>
      <c r="AK70" s="65"/>
    </row>
    <row r="71" spans="14:51" ht="20.25" customHeight="1">
      <c r="N71" s="65"/>
      <c r="O71" s="65"/>
      <c r="P71" s="65"/>
      <c r="Q71" s="65"/>
      <c r="R71" s="79">
        <v>3</v>
      </c>
      <c r="S71" s="90" t="str">
        <f t="shared" ref="S71:S80" si="69">IFERROR(VLOOKUP(R71,R$52:S$64,2,FALSE),"")</f>
        <v>うううううう保険</v>
      </c>
      <c r="T71" s="81">
        <v>3</v>
      </c>
      <c r="U71" s="81" t="str">
        <f t="shared" si="64"/>
        <v>あああ３</v>
      </c>
      <c r="V71" s="81">
        <v>3</v>
      </c>
      <c r="W71" s="81" t="str">
        <f t="shared" si="65"/>
        <v>おおおお</v>
      </c>
      <c r="X71" s="81">
        <v>3</v>
      </c>
      <c r="Y71" s="81" t="str">
        <f t="shared" si="66"/>
        <v>母</v>
      </c>
      <c r="AB71" s="81">
        <v>3</v>
      </c>
      <c r="AC71" s="81" t="str">
        <f t="shared" si="67"/>
        <v>おおおおお2</v>
      </c>
      <c r="AD71" s="81">
        <v>3</v>
      </c>
      <c r="AE71" s="81" t="str">
        <f t="shared" si="68"/>
        <v>母2</v>
      </c>
      <c r="AK71" s="65"/>
    </row>
    <row r="72" spans="14:51" ht="20.25" customHeight="1">
      <c r="N72" s="65"/>
      <c r="O72" s="65"/>
      <c r="P72" s="65"/>
      <c r="Q72" s="65"/>
      <c r="R72" s="79">
        <v>4</v>
      </c>
      <c r="S72" s="90" t="str">
        <f t="shared" si="69"/>
        <v/>
      </c>
      <c r="T72" s="81">
        <v>4</v>
      </c>
      <c r="U72" s="81" t="str">
        <f t="shared" si="64"/>
        <v>ううう６</v>
      </c>
      <c r="V72" s="81">
        <v>4</v>
      </c>
      <c r="W72" s="81" t="str">
        <f t="shared" si="65"/>
        <v>ううう８</v>
      </c>
      <c r="X72" s="81">
        <v>4</v>
      </c>
      <c r="Y72" s="81" t="str">
        <f t="shared" si="66"/>
        <v>父</v>
      </c>
      <c r="AB72" s="81">
        <v>4</v>
      </c>
      <c r="AC72" s="81" t="str">
        <f t="shared" si="67"/>
        <v>おおおおお3</v>
      </c>
      <c r="AD72" s="81">
        <v>4</v>
      </c>
      <c r="AE72" s="81" t="str">
        <f t="shared" si="68"/>
        <v>母3</v>
      </c>
      <c r="AK72" s="65"/>
    </row>
    <row r="73" spans="14:51" ht="20.25" customHeight="1">
      <c r="N73" s="65"/>
      <c r="O73" s="65"/>
      <c r="P73" s="65"/>
      <c r="Q73" s="65"/>
      <c r="R73" s="79">
        <v>5</v>
      </c>
      <c r="S73" s="90" t="str">
        <f t="shared" si="69"/>
        <v/>
      </c>
      <c r="T73" s="81">
        <v>5</v>
      </c>
      <c r="U73" s="81" t="str">
        <f t="shared" si="64"/>
        <v/>
      </c>
      <c r="V73" s="81">
        <v>5</v>
      </c>
      <c r="W73" s="81" t="str">
        <f t="shared" si="65"/>
        <v/>
      </c>
      <c r="X73" s="81">
        <v>5</v>
      </c>
      <c r="Y73" s="81" t="str">
        <f t="shared" si="66"/>
        <v/>
      </c>
      <c r="AB73" s="81">
        <v>5</v>
      </c>
      <c r="AC73" s="81" t="str">
        <f t="shared" si="67"/>
        <v/>
      </c>
      <c r="AD73" s="81">
        <v>5</v>
      </c>
      <c r="AE73" s="81" t="str">
        <f t="shared" si="68"/>
        <v/>
      </c>
      <c r="AK73" s="65"/>
    </row>
    <row r="74" spans="14:51" ht="20.25" customHeight="1">
      <c r="N74" s="65"/>
      <c r="O74" s="65"/>
      <c r="P74" s="65"/>
      <c r="Q74" s="65"/>
      <c r="R74" s="79">
        <v>6</v>
      </c>
      <c r="S74" s="90" t="str">
        <f t="shared" si="69"/>
        <v/>
      </c>
      <c r="T74" s="81">
        <v>6</v>
      </c>
      <c r="U74" s="81" t="str">
        <f t="shared" si="64"/>
        <v/>
      </c>
      <c r="V74" s="81">
        <v>6</v>
      </c>
      <c r="W74" s="81" t="str">
        <f t="shared" si="65"/>
        <v/>
      </c>
      <c r="X74" s="81">
        <v>6</v>
      </c>
      <c r="Y74" s="81" t="str">
        <f t="shared" si="66"/>
        <v/>
      </c>
      <c r="AB74" s="81">
        <v>6</v>
      </c>
      <c r="AC74" s="81" t="str">
        <f t="shared" si="67"/>
        <v/>
      </c>
      <c r="AD74" s="81">
        <v>6</v>
      </c>
      <c r="AE74" s="81" t="str">
        <f t="shared" si="68"/>
        <v/>
      </c>
      <c r="AK74" s="65"/>
    </row>
    <row r="75" spans="14:51" ht="20.25" customHeight="1">
      <c r="N75" s="65"/>
      <c r="O75" s="65"/>
      <c r="P75" s="65"/>
      <c r="Q75" s="65"/>
      <c r="R75" s="79">
        <v>7</v>
      </c>
      <c r="S75" s="90" t="str">
        <f t="shared" si="69"/>
        <v/>
      </c>
      <c r="T75" s="81">
        <v>7</v>
      </c>
      <c r="U75" s="81" t="str">
        <f t="shared" si="64"/>
        <v/>
      </c>
      <c r="V75" s="81">
        <v>7</v>
      </c>
      <c r="W75" s="81" t="str">
        <f t="shared" si="65"/>
        <v/>
      </c>
      <c r="X75" s="81">
        <v>7</v>
      </c>
      <c r="Y75" s="81" t="str">
        <f t="shared" si="66"/>
        <v/>
      </c>
      <c r="AB75" s="81">
        <v>7</v>
      </c>
      <c r="AC75" s="81" t="str">
        <f t="shared" si="67"/>
        <v/>
      </c>
      <c r="AD75" s="81">
        <v>7</v>
      </c>
      <c r="AE75" s="81" t="str">
        <f t="shared" si="68"/>
        <v/>
      </c>
      <c r="AK75" s="65"/>
    </row>
    <row r="76" spans="14:51" ht="20.25" customHeight="1">
      <c r="N76" s="65"/>
      <c r="O76" s="65"/>
      <c r="P76" s="65"/>
      <c r="Q76" s="65"/>
      <c r="R76" s="79">
        <v>8</v>
      </c>
      <c r="S76" s="90" t="str">
        <f t="shared" si="69"/>
        <v/>
      </c>
      <c r="T76" s="81">
        <v>8</v>
      </c>
      <c r="U76" s="81" t="str">
        <f t="shared" si="64"/>
        <v/>
      </c>
      <c r="V76" s="81">
        <v>8</v>
      </c>
      <c r="W76" s="81" t="str">
        <f t="shared" si="65"/>
        <v/>
      </c>
      <c r="X76" s="81">
        <v>8</v>
      </c>
      <c r="Y76" s="81" t="str">
        <f t="shared" si="66"/>
        <v/>
      </c>
      <c r="AB76" s="81">
        <v>8</v>
      </c>
      <c r="AC76" s="81" t="str">
        <f t="shared" si="67"/>
        <v/>
      </c>
      <c r="AD76" s="81">
        <v>8</v>
      </c>
      <c r="AE76" s="81" t="str">
        <f t="shared" si="68"/>
        <v/>
      </c>
      <c r="AK76" s="65"/>
    </row>
    <row r="77" spans="14:51" ht="20.25" customHeight="1">
      <c r="N77" s="65"/>
      <c r="O77" s="65"/>
      <c r="P77" s="65"/>
      <c r="Q77" s="65"/>
      <c r="R77" s="79">
        <v>9</v>
      </c>
      <c r="S77" s="90" t="str">
        <f t="shared" si="69"/>
        <v/>
      </c>
      <c r="T77" s="81">
        <v>9</v>
      </c>
      <c r="U77" s="81" t="str">
        <f t="shared" si="64"/>
        <v/>
      </c>
      <c r="V77" s="81">
        <v>9</v>
      </c>
      <c r="W77" s="81" t="str">
        <f t="shared" si="65"/>
        <v/>
      </c>
      <c r="X77" s="81">
        <v>9</v>
      </c>
      <c r="Y77" s="81" t="str">
        <f t="shared" si="66"/>
        <v/>
      </c>
      <c r="AB77" s="81">
        <v>9</v>
      </c>
      <c r="AC77" s="81" t="str">
        <f t="shared" si="67"/>
        <v/>
      </c>
      <c r="AD77" s="81">
        <v>9</v>
      </c>
      <c r="AE77" s="81" t="str">
        <f t="shared" si="68"/>
        <v/>
      </c>
      <c r="AK77" s="65"/>
      <c r="AX77" s="21"/>
      <c r="AY77" s="21"/>
    </row>
    <row r="78" spans="14:51" ht="20.25" customHeight="1">
      <c r="N78" s="65"/>
      <c r="O78" s="65"/>
      <c r="P78" s="65"/>
      <c r="Q78" s="65"/>
      <c r="R78" s="79">
        <v>10</v>
      </c>
      <c r="S78" s="90" t="str">
        <f t="shared" si="69"/>
        <v/>
      </c>
      <c r="T78" s="81">
        <v>10</v>
      </c>
      <c r="U78" s="81" t="str">
        <f t="shared" si="64"/>
        <v/>
      </c>
      <c r="V78" s="81">
        <v>10</v>
      </c>
      <c r="W78" s="81" t="str">
        <f t="shared" si="65"/>
        <v/>
      </c>
      <c r="X78" s="81">
        <v>10</v>
      </c>
      <c r="Y78" s="81" t="str">
        <f t="shared" si="66"/>
        <v/>
      </c>
      <c r="AB78" s="81">
        <v>10</v>
      </c>
      <c r="AC78" s="81" t="str">
        <f t="shared" si="67"/>
        <v/>
      </c>
      <c r="AD78" s="81">
        <v>10</v>
      </c>
      <c r="AE78" s="81" t="str">
        <f t="shared" si="68"/>
        <v/>
      </c>
      <c r="AK78" s="65"/>
      <c r="AX78" s="111"/>
      <c r="AY78" s="111"/>
    </row>
    <row r="79" spans="14:51" ht="20.25" customHeight="1">
      <c r="N79" s="65"/>
      <c r="O79" s="65"/>
      <c r="P79" s="65"/>
      <c r="Q79" s="65"/>
      <c r="R79" s="79">
        <v>11</v>
      </c>
      <c r="S79" s="90" t="str">
        <f t="shared" si="69"/>
        <v/>
      </c>
      <c r="T79" s="81">
        <v>11</v>
      </c>
      <c r="U79" s="81" t="str">
        <f t="shared" si="64"/>
        <v/>
      </c>
      <c r="V79" s="81">
        <v>11</v>
      </c>
      <c r="W79" s="81" t="str">
        <f t="shared" si="65"/>
        <v/>
      </c>
      <c r="X79" s="81">
        <v>11</v>
      </c>
      <c r="Y79" s="81" t="str">
        <f t="shared" si="66"/>
        <v/>
      </c>
      <c r="AB79" s="81">
        <v>11</v>
      </c>
      <c r="AC79" s="81" t="str">
        <f t="shared" si="67"/>
        <v/>
      </c>
      <c r="AD79" s="81">
        <v>11</v>
      </c>
      <c r="AE79" s="81" t="str">
        <f t="shared" si="68"/>
        <v/>
      </c>
      <c r="AK79" s="65"/>
    </row>
    <row r="80" spans="14:51" ht="20.25" customHeight="1">
      <c r="N80" s="65"/>
      <c r="O80" s="65"/>
      <c r="P80" s="65"/>
      <c r="Q80" s="65"/>
      <c r="R80" s="79">
        <v>12</v>
      </c>
      <c r="S80" s="90" t="str">
        <f t="shared" si="69"/>
        <v/>
      </c>
      <c r="T80" s="81">
        <v>12</v>
      </c>
      <c r="U80" s="81" t="str">
        <f t="shared" si="64"/>
        <v/>
      </c>
      <c r="V80" s="81">
        <v>12</v>
      </c>
      <c r="W80" s="81" t="str">
        <f t="shared" si="65"/>
        <v/>
      </c>
      <c r="X80" s="81">
        <v>12</v>
      </c>
      <c r="Y80" s="81" t="str">
        <f t="shared" si="66"/>
        <v/>
      </c>
      <c r="AB80" s="81">
        <v>12</v>
      </c>
      <c r="AC80" s="81" t="str">
        <f t="shared" si="67"/>
        <v/>
      </c>
      <c r="AD80" s="81">
        <v>12</v>
      </c>
      <c r="AE80" s="81" t="str">
        <f t="shared" si="68"/>
        <v/>
      </c>
      <c r="AK80" s="65"/>
    </row>
    <row r="81" ht="20.25" customHeight="1"/>
    <row r="82" ht="20.25" customHeight="1"/>
    <row r="83" ht="20.25" customHeight="1"/>
  </sheetData>
  <mergeCells count="29">
    <mergeCell ref="AC39:AD39"/>
    <mergeCell ref="AC37:AD37"/>
    <mergeCell ref="AC45:AD45"/>
    <mergeCell ref="AC46:AD46"/>
    <mergeCell ref="AC40:AD40"/>
    <mergeCell ref="AC41:AD41"/>
    <mergeCell ref="AC42:AD42"/>
    <mergeCell ref="AC43:AD43"/>
    <mergeCell ref="AG4:AH4"/>
    <mergeCell ref="A7:C7"/>
    <mergeCell ref="AC36:AD36"/>
    <mergeCell ref="AC34:AD34"/>
    <mergeCell ref="AC33:AD33"/>
    <mergeCell ref="B8:C10"/>
    <mergeCell ref="X5:AB5"/>
    <mergeCell ref="B12:C14"/>
    <mergeCell ref="B15:C15"/>
    <mergeCell ref="B16:C18"/>
    <mergeCell ref="A16:A19"/>
    <mergeCell ref="A12:A15"/>
    <mergeCell ref="A8:A11"/>
    <mergeCell ref="A1:C5"/>
    <mergeCell ref="A6:C6"/>
    <mergeCell ref="AU36:AV36"/>
    <mergeCell ref="AU12:AV12"/>
    <mergeCell ref="AU35:AV35"/>
    <mergeCell ref="AR11:AS11"/>
    <mergeCell ref="AR12:AS12"/>
    <mergeCell ref="AU11:AV11"/>
  </mergeCells>
  <phoneticPr fontId="2"/>
  <conditionalFormatting sqref="N7:Q26">
    <cfRule type="expression" dxfId="18" priority="8">
      <formula>ISODD(ROW())</formula>
    </cfRule>
    <cfRule type="expression" dxfId="17" priority="9">
      <formula>ISEVEN(ROW())</formula>
    </cfRule>
  </conditionalFormatting>
  <conditionalFormatting sqref="O7:O26">
    <cfRule type="expression" dxfId="16" priority="5">
      <formula>AND(LEN(O7)=0,OR($N7=$N$52,$N7=$N$54),LEN($P7)&gt;0)</formula>
    </cfRule>
    <cfRule type="expression" dxfId="15" priority="7">
      <formula>N7=$N$53</formula>
    </cfRule>
  </conditionalFormatting>
  <conditionalFormatting sqref="R7:W26">
    <cfRule type="expression" dxfId="14" priority="6">
      <formula>OR(LEN($P7)=0,LEN($Q7)&gt;1)</formula>
    </cfRule>
  </conditionalFormatting>
  <conditionalFormatting sqref="R7:X8 R8:W18 R10:X26">
    <cfRule type="expression" dxfId="13" priority="371">
      <formula>ISEVEN(ROW())</formula>
    </cfRule>
  </conditionalFormatting>
  <conditionalFormatting sqref="R7:X8 R10:X26 R8:W18">
    <cfRule type="expression" dxfId="12" priority="44">
      <formula>ISODD(ROW())</formula>
    </cfRule>
  </conditionalFormatting>
  <conditionalFormatting sqref="X7:X8 X10:X26">
    <cfRule type="expression" dxfId="11" priority="43">
      <formula>AND(X7="",$AK7=1)</formula>
    </cfRule>
  </conditionalFormatting>
  <conditionalFormatting sqref="X7:Y26">
    <cfRule type="expression" dxfId="10" priority="1">
      <formula>ISODD(ROW())</formula>
    </cfRule>
    <cfRule type="expression" dxfId="9" priority="2">
      <formula>ISEVEN(ROW())</formula>
    </cfRule>
  </conditionalFormatting>
  <conditionalFormatting sqref="Z7:Z26">
    <cfRule type="expression" dxfId="8" priority="37">
      <formula>ISODD(ROW())</formula>
    </cfRule>
    <cfRule type="expression" dxfId="7" priority="38">
      <formula>ISEVEN(ROW())</formula>
    </cfRule>
  </conditionalFormatting>
  <conditionalFormatting sqref="AA7:AB26">
    <cfRule type="expression" dxfId="6" priority="3">
      <formula>ISODD(ROW())</formula>
    </cfRule>
    <cfRule type="expression" dxfId="5" priority="4">
      <formula>ISEVEN(ROW())</formula>
    </cfRule>
  </conditionalFormatting>
  <conditionalFormatting sqref="AE7:AH26">
    <cfRule type="expression" dxfId="4" priority="482">
      <formula>$AD7=""</formula>
    </cfRule>
    <cfRule type="expression" dxfId="3" priority="483">
      <formula>AND(ISODD(ROW()),$AB7&lt;&gt;0)</formula>
    </cfRule>
    <cfRule type="expression" dxfId="2" priority="484">
      <formula>AND(ISEVEN(ROW()),$AB7&lt;&gt;0)</formula>
    </cfRule>
  </conditionalFormatting>
  <dataValidations count="16">
    <dataValidation imeMode="on" allowBlank="1" showInputMessage="1" sqref="R27:AH27 P27 S7:S26" xr:uid="{00000000-0002-0000-0400-000002000000}"/>
    <dataValidation type="whole" imeMode="off" operator="notEqual" allowBlank="1" showInputMessage="1" showErrorMessage="1" error="整数を入力してください。" sqref="Q7 P7:P26" xr:uid="{00000000-0002-0000-0400-000005000000}">
      <formula1>0</formula1>
    </dataValidation>
    <dataValidation type="date" imeMode="off" operator="greaterThanOrEqual" allowBlank="1" showInputMessage="1" showErrorMessage="1" sqref="AH7:AH26" xr:uid="{00000000-0002-0000-0400-000009000000}">
      <formula1>TODAY()-730</formula1>
    </dataValidation>
    <dataValidation imeMode="off" operator="notEqual" allowBlank="1" showInputMessage="1" showErrorMessage="1" error="整数を入力してください。" sqref="Y7:AB26" xr:uid="{5B5F04A1-EBFC-45AC-8DBE-25FABD96EF83}"/>
    <dataValidation type="textLength" operator="lessThan" allowBlank="1" showInputMessage="1" showErrorMessage="1" sqref="T7:T26" xr:uid="{00000000-0002-0000-0400-00000B000000}">
      <formula1>5</formula1>
    </dataValidation>
    <dataValidation type="list" allowBlank="1" showInputMessage="1" showErrorMessage="1" sqref="N7:N27" xr:uid="{CCEE8128-469C-4907-A4B8-24BDB1907470}">
      <formula1>$N$51:$N$54</formula1>
    </dataValidation>
    <dataValidation type="list" allowBlank="1" showInputMessage="1" showErrorMessage="1" sqref="O7:O27" xr:uid="{3035D99A-81A0-40C1-82DE-CFE30CD14267}">
      <formula1>$O$51:$O$53</formula1>
    </dataValidation>
    <dataValidation type="list" allowBlank="1" showInputMessage="1" showErrorMessage="1" sqref="Q27" xr:uid="{B8AF82EB-CD15-4C30-BB70-C67D8F77E651}">
      <formula1>$Q$51:$Q$53</formula1>
    </dataValidation>
    <dataValidation type="list" imeMode="on" allowBlank="1" showInputMessage="1" showErrorMessage="1" sqref="X7:X26" xr:uid="{E7D1D453-6A6D-48ED-BBFF-5B57BD2FCC2F}">
      <formula1>$Z$52:$Z$54</formula1>
    </dataValidation>
    <dataValidation type="list" imeMode="on" allowBlank="1" showInputMessage="1" sqref="R7:R26" xr:uid="{00000000-0002-0000-0400-000001000000}">
      <formula1>$S$68:$S$80</formula1>
    </dataValidation>
    <dataValidation type="list" imeMode="hiragana" allowBlank="1" showInputMessage="1" sqref="W7:W26" xr:uid="{00000000-0002-0000-0400-000003000000}">
      <formula1>$Y$68:$Y$80</formula1>
    </dataValidation>
    <dataValidation type="list" imeMode="hiragana" allowBlank="1" showInputMessage="1" sqref="AE7:AE26" xr:uid="{00000000-0002-0000-0400-000004000000}">
      <formula1>$AC$68:$AC$80</formula1>
    </dataValidation>
    <dataValidation type="list" imeMode="hiragana" allowBlank="1" showInputMessage="1" sqref="AF7:AF26" xr:uid="{00000000-0002-0000-0400-000006000000}">
      <formula1>$AE$68:$AE$80</formula1>
    </dataValidation>
    <dataValidation type="list" imeMode="hiragana" allowBlank="1" showInputMessage="1" sqref="U7:U26" xr:uid="{00000000-0002-0000-0400-000007000000}">
      <formula1>$U$68:$U$80</formula1>
    </dataValidation>
    <dataValidation type="list" imeMode="hiragana" allowBlank="1" showInputMessage="1" sqref="V7:V26" xr:uid="{00000000-0002-0000-0400-000008000000}">
      <formula1>$W$68:$W$80</formula1>
    </dataValidation>
    <dataValidation type="list" allowBlank="1" showInputMessage="1" showErrorMessage="1" sqref="Q8:Q26" xr:uid="{DEB3CFC2-FFE5-47A1-B56C-1546BC63C221}">
      <formula1>$Q$52:$Q$53</formula1>
    </dataValidation>
  </dataValidations>
  <pageMargins left="0.39370078740157483" right="0.31496062992125984" top="0.19685039370078741" bottom="0.19685039370078741" header="0.31496062992125984" footer="0.31496062992125984"/>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59"/>
  <sheetViews>
    <sheetView topLeftCell="A9" workbookViewId="0">
      <selection activeCell="I13" sqref="I13"/>
    </sheetView>
  </sheetViews>
  <sheetFormatPr defaultRowHeight="13.5"/>
  <cols>
    <col min="1" max="1" width="3.5" customWidth="1"/>
    <col min="2" max="2" width="5.25" customWidth="1"/>
    <col min="3" max="4" width="12" customWidth="1"/>
    <col min="5" max="7" width="13.75" customWidth="1"/>
    <col min="8" max="8" width="7.75" customWidth="1"/>
    <col min="10" max="10" width="10.25" customWidth="1"/>
    <col min="12" max="12" width="7.25" customWidth="1"/>
    <col min="15" max="23" width="9.75" customWidth="1"/>
  </cols>
  <sheetData>
    <row r="1" spans="1:12" hidden="1">
      <c r="A1" t="s">
        <v>309</v>
      </c>
      <c r="B1" s="2">
        <v>1</v>
      </c>
      <c r="C1" s="2">
        <f t="shared" ref="C1:F3" si="0">COLUMN()-COLUMN($B1)+1</f>
        <v>2</v>
      </c>
      <c r="D1" s="2">
        <f t="shared" si="0"/>
        <v>3</v>
      </c>
      <c r="E1" s="2">
        <f t="shared" si="0"/>
        <v>4</v>
      </c>
      <c r="F1" s="2">
        <f t="shared" si="0"/>
        <v>5</v>
      </c>
    </row>
    <row r="2" spans="1:12" hidden="1">
      <c r="A2" t="s">
        <v>310</v>
      </c>
      <c r="B2" s="2">
        <v>1</v>
      </c>
      <c r="C2" s="2">
        <f t="shared" si="0"/>
        <v>2</v>
      </c>
      <c r="D2" s="2">
        <f t="shared" si="0"/>
        <v>3</v>
      </c>
      <c r="E2" s="2">
        <f t="shared" si="0"/>
        <v>4</v>
      </c>
      <c r="F2" s="2">
        <f t="shared" si="0"/>
        <v>5</v>
      </c>
      <c r="G2" s="2">
        <f>COLUMN()-COLUMN($B2)+1</f>
        <v>6</v>
      </c>
      <c r="H2" s="2">
        <f>COLUMN()-COLUMN($B2)+1</f>
        <v>7</v>
      </c>
      <c r="I2" s="2">
        <f>COLUMN()-COLUMN($B2)+1</f>
        <v>8</v>
      </c>
      <c r="J2" s="2">
        <f>COLUMN()-COLUMN($B2)+1</f>
        <v>9</v>
      </c>
      <c r="L2" s="2">
        <f>COLUMN()-COLUMN($B2)+1</f>
        <v>11</v>
      </c>
    </row>
    <row r="3" spans="1:12" hidden="1">
      <c r="A3" t="s">
        <v>311</v>
      </c>
      <c r="B3" s="2">
        <v>1</v>
      </c>
      <c r="C3" s="54">
        <f t="shared" si="0"/>
        <v>2</v>
      </c>
      <c r="D3" s="54">
        <f t="shared" si="0"/>
        <v>3</v>
      </c>
      <c r="E3" s="54">
        <f t="shared" si="0"/>
        <v>4</v>
      </c>
      <c r="F3" s="54">
        <f t="shared" si="0"/>
        <v>5</v>
      </c>
      <c r="G3" s="54">
        <f>COLUMN()-COLUMN($B3)+1</f>
        <v>6</v>
      </c>
    </row>
    <row r="4" spans="1:12" hidden="1"/>
    <row r="5" spans="1:12" hidden="1"/>
    <row r="6" spans="1:12" hidden="1"/>
    <row r="7" spans="1:12" hidden="1"/>
    <row r="8" spans="1:12" hidden="1"/>
    <row r="9" spans="1:12" ht="17.25" customHeight="1">
      <c r="C9" s="911" t="s">
        <v>465</v>
      </c>
      <c r="D9" s="912"/>
      <c r="E9" s="912"/>
      <c r="F9" s="912"/>
      <c r="G9" s="912"/>
      <c r="H9" s="912"/>
      <c r="I9" s="912"/>
      <c r="J9" s="912"/>
      <c r="K9" s="913"/>
      <c r="L9" s="619"/>
    </row>
    <row r="10" spans="1:12" ht="17.25" customHeight="1">
      <c r="C10" s="616" t="s">
        <v>509</v>
      </c>
      <c r="D10" s="617"/>
      <c r="E10" s="617"/>
      <c r="F10" s="617"/>
      <c r="G10" s="617"/>
      <c r="H10" s="617"/>
      <c r="I10" s="617"/>
      <c r="J10" s="617"/>
      <c r="K10" s="618"/>
    </row>
    <row r="11" spans="1:12">
      <c r="B11" s="614" t="s">
        <v>385</v>
      </c>
    </row>
    <row r="12" spans="1:12" ht="18.75" customHeight="1" thickBot="1">
      <c r="C12" s="352" t="s">
        <v>313</v>
      </c>
      <c r="D12" s="352"/>
    </row>
    <row r="13" spans="1:12" ht="27" customHeight="1">
      <c r="B13" s="4" t="s">
        <v>48</v>
      </c>
      <c r="C13" s="923" t="s">
        <v>47</v>
      </c>
      <c r="D13" s="924"/>
      <c r="E13" s="925"/>
      <c r="F13" s="593" t="s">
        <v>384</v>
      </c>
    </row>
    <row r="14" spans="1:12" ht="18.75" customHeight="1">
      <c r="B14" s="2">
        <f>ROW()-ROW(B$14)+1</f>
        <v>1</v>
      </c>
      <c r="C14" s="916" t="s">
        <v>49</v>
      </c>
      <c r="D14" s="915"/>
      <c r="E14" s="917"/>
      <c r="F14" s="594"/>
    </row>
    <row r="15" spans="1:12" ht="18.75" customHeight="1">
      <c r="B15" s="2">
        <f>ROW()-ROW(B$14)+1</f>
        <v>2</v>
      </c>
      <c r="C15" s="921" t="s">
        <v>50</v>
      </c>
      <c r="D15" s="638"/>
      <c r="E15" s="639"/>
      <c r="F15" s="594"/>
    </row>
    <row r="16" spans="1:12" ht="18.75" customHeight="1">
      <c r="B16" s="2">
        <f>ROW()-ROW(B$14)+1</f>
        <v>3</v>
      </c>
      <c r="C16" s="922" t="s">
        <v>51</v>
      </c>
      <c r="D16" s="663"/>
      <c r="E16" s="664"/>
      <c r="F16" s="594"/>
    </row>
    <row r="17" spans="2:22" ht="18.75" customHeight="1" thickBot="1">
      <c r="B17" s="2">
        <f>ROW()-ROW(B$14)+1</f>
        <v>4</v>
      </c>
      <c r="C17" s="918" t="s">
        <v>52</v>
      </c>
      <c r="D17" s="919"/>
      <c r="E17" s="920"/>
      <c r="F17" s="596"/>
    </row>
    <row r="18" spans="2:22" ht="18.75" hidden="1" customHeight="1">
      <c r="B18" s="2">
        <f>ROW()-ROW(B$14)+1</f>
        <v>5</v>
      </c>
      <c r="C18" s="592"/>
      <c r="D18" s="592"/>
      <c r="E18" s="592"/>
      <c r="F18" s="592"/>
    </row>
    <row r="19" spans="2:22" ht="9.75" customHeight="1" thickBot="1">
      <c r="B19" s="2"/>
      <c r="C19" s="4"/>
      <c r="D19" s="4"/>
      <c r="E19" s="4"/>
      <c r="F19" s="4"/>
    </row>
    <row r="20" spans="2:22" ht="18.75" customHeight="1" thickBot="1">
      <c r="C20" s="352" t="s">
        <v>323</v>
      </c>
      <c r="Q20" s="7" t="s">
        <v>46</v>
      </c>
      <c r="R20" s="39">
        <f>SUM(F13:F18)</f>
        <v>0</v>
      </c>
    </row>
    <row r="21" spans="2:22" ht="18.75" customHeight="1" thickBot="1">
      <c r="F21" s="2" t="s">
        <v>107</v>
      </c>
      <c r="G21" s="2" t="s">
        <v>107</v>
      </c>
      <c r="H21" s="2" t="s">
        <v>107</v>
      </c>
      <c r="I21" s="2" t="s">
        <v>154</v>
      </c>
      <c r="M21" s="2"/>
      <c r="N21" s="2"/>
      <c r="Q21" s="2" t="s">
        <v>32</v>
      </c>
    </row>
    <row r="22" spans="2:22" ht="13.5" customHeight="1">
      <c r="C22" s="597" t="s">
        <v>54</v>
      </c>
      <c r="D22" s="214" t="s">
        <v>56</v>
      </c>
      <c r="E22" s="598" t="s">
        <v>58</v>
      </c>
      <c r="F22" s="214" t="s">
        <v>59</v>
      </c>
      <c r="G22" s="598" t="s">
        <v>31</v>
      </c>
      <c r="H22" s="214" t="s">
        <v>453</v>
      </c>
      <c r="I22" s="598" t="s">
        <v>67</v>
      </c>
      <c r="J22" s="502" t="s">
        <v>69</v>
      </c>
      <c r="L22" s="142" t="s">
        <v>316</v>
      </c>
      <c r="M22" s="2"/>
      <c r="N22" s="2"/>
      <c r="P22" s="13" t="str">
        <f>I23</f>
        <v>区分</v>
      </c>
      <c r="Q22" s="13" t="s">
        <v>1</v>
      </c>
      <c r="R22" s="13" t="s">
        <v>3</v>
      </c>
      <c r="T22" s="5"/>
      <c r="U22" s="5"/>
      <c r="V22" s="5"/>
    </row>
    <row r="23" spans="2:22" ht="13.5" customHeight="1">
      <c r="B23" t="s">
        <v>30</v>
      </c>
      <c r="C23" s="595" t="s">
        <v>55</v>
      </c>
      <c r="D23" s="52" t="s">
        <v>77</v>
      </c>
      <c r="E23" s="26" t="s">
        <v>454</v>
      </c>
      <c r="F23" s="52" t="s">
        <v>302</v>
      </c>
      <c r="G23" s="26" t="s">
        <v>467</v>
      </c>
      <c r="H23" s="52" t="s">
        <v>65</v>
      </c>
      <c r="I23" s="26" t="s">
        <v>66</v>
      </c>
      <c r="J23" s="419" t="s">
        <v>383</v>
      </c>
      <c r="L23" s="40" t="s">
        <v>317</v>
      </c>
      <c r="M23" s="2"/>
      <c r="N23" s="2"/>
      <c r="P23" s="10" t="str">
        <f>T31</f>
        <v>地震</v>
      </c>
      <c r="Q23" s="10">
        <f>DSUM(I23:J34,J23,P22:P23)</f>
        <v>0</v>
      </c>
      <c r="R23" s="10">
        <f>MIN(Q23,R25)</f>
        <v>0</v>
      </c>
      <c r="T23" s="25" t="str">
        <f>'①入力(基礎控除)'!C5</f>
        <v>あああ１</v>
      </c>
      <c r="U23" s="25" t="str">
        <f>'①入力(基礎控除)'!C5</f>
        <v>あああ１</v>
      </c>
      <c r="V23" s="25" t="s">
        <v>426</v>
      </c>
    </row>
    <row r="24" spans="2:22" ht="18.75" customHeight="1">
      <c r="B24" s="2" t="str">
        <f>IF(J24&lt;&gt;0,MAX(B$23:B23)+1,"")</f>
        <v/>
      </c>
      <c r="C24" s="599"/>
      <c r="D24" s="344"/>
      <c r="E24" s="344"/>
      <c r="F24" s="344"/>
      <c r="G24" s="344"/>
      <c r="H24" s="344"/>
      <c r="I24" s="344"/>
      <c r="J24" s="600"/>
      <c r="L24" s="25" t="str">
        <f>IF(J24&lt;&gt;0,"地"&amp;B24,"")</f>
        <v/>
      </c>
      <c r="M24" s="2"/>
      <c r="N24" s="2"/>
      <c r="T24" s="5">
        <f>F24</f>
        <v>0</v>
      </c>
      <c r="U24" s="5">
        <f>G24</f>
        <v>0</v>
      </c>
      <c r="V24" s="5">
        <f>H24</f>
        <v>0</v>
      </c>
    </row>
    <row r="25" spans="2:22" ht="18.75" customHeight="1">
      <c r="B25" s="2" t="str">
        <f>IF(J25&lt;&gt;0,MAX(B$23:B24)+1,"")</f>
        <v/>
      </c>
      <c r="C25" s="599"/>
      <c r="D25" s="344"/>
      <c r="E25" s="344"/>
      <c r="F25" s="344"/>
      <c r="G25" s="344"/>
      <c r="H25" s="344"/>
      <c r="I25" s="344"/>
      <c r="J25" s="600"/>
      <c r="L25" s="25" t="str">
        <f t="shared" ref="L25:L33" si="1">IF(J25&lt;&gt;0,"地"&amp;B25,"")</f>
        <v/>
      </c>
      <c r="M25" s="2"/>
      <c r="N25" s="2"/>
      <c r="P25" s="17"/>
      <c r="Q25" s="18" t="s">
        <v>33</v>
      </c>
      <c r="R25" s="19">
        <v>50000</v>
      </c>
      <c r="T25" s="5">
        <f t="shared" ref="T25:T27" si="2">F25</f>
        <v>0</v>
      </c>
      <c r="U25" s="5">
        <f t="shared" ref="U25:V27" si="3">G25</f>
        <v>0</v>
      </c>
      <c r="V25" s="5">
        <f t="shared" si="3"/>
        <v>0</v>
      </c>
    </row>
    <row r="26" spans="2:22" ht="18.75" customHeight="1">
      <c r="B26" s="2" t="str">
        <f>IF(J26&lt;&gt;0,MAX(B$23:B25)+1,"")</f>
        <v/>
      </c>
      <c r="C26" s="599"/>
      <c r="D26" s="344"/>
      <c r="E26" s="344"/>
      <c r="F26" s="344"/>
      <c r="G26" s="344"/>
      <c r="H26" s="344"/>
      <c r="I26" s="344"/>
      <c r="J26" s="600"/>
      <c r="L26" s="25" t="str">
        <f t="shared" si="1"/>
        <v/>
      </c>
      <c r="M26" s="2"/>
      <c r="N26" s="2"/>
      <c r="T26" s="5">
        <f t="shared" si="2"/>
        <v>0</v>
      </c>
      <c r="U26" s="5">
        <f t="shared" si="3"/>
        <v>0</v>
      </c>
      <c r="V26" s="5">
        <f t="shared" si="3"/>
        <v>0</v>
      </c>
    </row>
    <row r="27" spans="2:22" ht="18.75" customHeight="1">
      <c r="B27" s="2" t="str">
        <f>IF(J27&lt;&gt;0,MAX(B$23:B26)+1,"")</f>
        <v/>
      </c>
      <c r="C27" s="599"/>
      <c r="D27" s="344"/>
      <c r="E27" s="344"/>
      <c r="F27" s="344"/>
      <c r="G27" s="344"/>
      <c r="H27" s="344"/>
      <c r="I27" s="344"/>
      <c r="J27" s="600"/>
      <c r="L27" s="25" t="str">
        <f t="shared" si="1"/>
        <v/>
      </c>
      <c r="M27" s="2"/>
      <c r="N27" s="2"/>
      <c r="P27" s="13" t="str">
        <f>I23</f>
        <v>区分</v>
      </c>
      <c r="Q27" s="13" t="s">
        <v>1</v>
      </c>
      <c r="R27" s="13" t="s">
        <v>3</v>
      </c>
      <c r="T27" s="5">
        <f t="shared" si="2"/>
        <v>0</v>
      </c>
      <c r="U27" s="5">
        <f t="shared" si="3"/>
        <v>0</v>
      </c>
      <c r="V27" s="5">
        <f t="shared" si="3"/>
        <v>0</v>
      </c>
    </row>
    <row r="28" spans="2:22" ht="18.75" customHeight="1">
      <c r="B28" s="2" t="str">
        <f>IF(J28&lt;&gt;0,MAX(B$23:B27)+1,"")</f>
        <v/>
      </c>
      <c r="C28" s="599"/>
      <c r="D28" s="344"/>
      <c r="E28" s="344"/>
      <c r="F28" s="344"/>
      <c r="G28" s="344"/>
      <c r="H28" s="344"/>
      <c r="I28" s="344"/>
      <c r="J28" s="600"/>
      <c r="L28" s="25" t="str">
        <f t="shared" si="1"/>
        <v/>
      </c>
      <c r="M28" s="2"/>
      <c r="N28" s="2"/>
      <c r="P28" s="10" t="str">
        <f>U31</f>
        <v>旧長期</v>
      </c>
      <c r="Q28" s="10">
        <f>DSUM(I23:J34,J23,P27:P28)</f>
        <v>0</v>
      </c>
      <c r="R28" s="10">
        <f>VLOOKUP(Q28,P31:Q32,2)</f>
        <v>0</v>
      </c>
    </row>
    <row r="29" spans="2:22" ht="18.75" customHeight="1">
      <c r="B29" s="2" t="str">
        <f>IF(J29&lt;&gt;0,MAX(B$23:B28)+1,"")</f>
        <v/>
      </c>
      <c r="C29" s="599"/>
      <c r="D29" s="344"/>
      <c r="E29" s="344"/>
      <c r="F29" s="344"/>
      <c r="G29" s="344"/>
      <c r="H29" s="344"/>
      <c r="I29" s="344"/>
      <c r="J29" s="600"/>
      <c r="L29" s="25" t="str">
        <f t="shared" si="1"/>
        <v/>
      </c>
      <c r="M29" s="2"/>
      <c r="N29" s="2"/>
      <c r="Q29" s="2" t="s">
        <v>35</v>
      </c>
    </row>
    <row r="30" spans="2:22" ht="18.75" customHeight="1">
      <c r="B30" s="2" t="str">
        <f>IF(J30&lt;&gt;0,MAX(B$23:B29)+1,"")</f>
        <v/>
      </c>
      <c r="C30" s="599"/>
      <c r="D30" s="344"/>
      <c r="E30" s="344"/>
      <c r="F30" s="344"/>
      <c r="G30" s="344"/>
      <c r="H30" s="344"/>
      <c r="I30" s="344"/>
      <c r="J30" s="600"/>
      <c r="L30" s="25" t="str">
        <f t="shared" si="1"/>
        <v/>
      </c>
      <c r="M30" s="2"/>
      <c r="N30" s="2"/>
      <c r="P30" s="5" t="s">
        <v>34</v>
      </c>
      <c r="Q30" s="25" t="s">
        <v>37</v>
      </c>
      <c r="S30" s="17"/>
      <c r="T30" s="29" t="s">
        <v>43</v>
      </c>
      <c r="U30" s="5">
        <v>50000</v>
      </c>
    </row>
    <row r="31" spans="2:22" ht="18.75" customHeight="1">
      <c r="B31" s="2" t="str">
        <f>IF(J31&lt;&gt;0,MAX(B$23:B30)+1,"")</f>
        <v/>
      </c>
      <c r="C31" s="599"/>
      <c r="D31" s="344"/>
      <c r="E31" s="344"/>
      <c r="F31" s="344"/>
      <c r="G31" s="344"/>
      <c r="H31" s="344"/>
      <c r="I31" s="344"/>
      <c r="J31" s="600"/>
      <c r="L31" s="25" t="str">
        <f t="shared" si="1"/>
        <v/>
      </c>
      <c r="M31" s="2"/>
      <c r="N31" s="2"/>
      <c r="P31" s="3">
        <v>-1000000</v>
      </c>
      <c r="Q31" s="8">
        <f>MIN(P32,Q28)</f>
        <v>0</v>
      </c>
      <c r="S31" s="3"/>
      <c r="T31" s="25" t="s">
        <v>62</v>
      </c>
      <c r="U31" s="25" t="s">
        <v>63</v>
      </c>
    </row>
    <row r="32" spans="2:22" ht="18.75" customHeight="1">
      <c r="B32" s="2" t="str">
        <f>IF(J32&lt;&gt;0,MAX(B$23:B31)+1,"")</f>
        <v/>
      </c>
      <c r="C32" s="599"/>
      <c r="D32" s="344"/>
      <c r="E32" s="344"/>
      <c r="F32" s="344"/>
      <c r="G32" s="344"/>
      <c r="H32" s="344"/>
      <c r="I32" s="344"/>
      <c r="J32" s="600"/>
      <c r="L32" s="25" t="str">
        <f t="shared" si="1"/>
        <v/>
      </c>
      <c r="M32" s="2"/>
      <c r="N32" s="2"/>
      <c r="P32" s="3">
        <v>10001</v>
      </c>
      <c r="Q32" s="6">
        <f>MIN(ROUNDUP(Q28/2+5000,0),R33)</f>
        <v>5000</v>
      </c>
    </row>
    <row r="33" spans="2:22" ht="18.75" customHeight="1" thickBot="1">
      <c r="B33" s="2" t="str">
        <f>IF(J33&lt;&gt;0,MAX(B$23:B32)+1,"")</f>
        <v/>
      </c>
      <c r="C33" s="601"/>
      <c r="D33" s="602"/>
      <c r="E33" s="602"/>
      <c r="F33" s="602"/>
      <c r="G33" s="602"/>
      <c r="H33" s="602"/>
      <c r="I33" s="602"/>
      <c r="J33" s="603"/>
      <c r="L33" s="25" t="str">
        <f t="shared" si="1"/>
        <v/>
      </c>
      <c r="M33" s="2"/>
      <c r="N33" s="2"/>
      <c r="P33" s="17"/>
      <c r="Q33" s="18" t="s">
        <v>36</v>
      </c>
      <c r="R33" s="19">
        <v>15000</v>
      </c>
    </row>
    <row r="34" spans="2:22" ht="18.75" hidden="1" customHeight="1">
      <c r="B34" s="2">
        <f>MAX(B$23:B33)+1</f>
        <v>1</v>
      </c>
      <c r="C34" s="592"/>
      <c r="D34" s="592"/>
      <c r="E34" s="592"/>
      <c r="F34" s="592"/>
      <c r="G34" s="592"/>
      <c r="H34" s="592"/>
      <c r="I34" s="592"/>
      <c r="J34" s="592"/>
    </row>
    <row r="35" spans="2:22" ht="18.75" customHeight="1"/>
    <row r="36" spans="2:22" ht="18.75" customHeight="1" thickBot="1">
      <c r="C36" s="352" t="s">
        <v>324</v>
      </c>
    </row>
    <row r="37" spans="2:22" ht="13.5" customHeight="1">
      <c r="C37" s="597" t="s">
        <v>72</v>
      </c>
      <c r="D37" s="214" t="s">
        <v>70</v>
      </c>
      <c r="E37" s="598" t="s">
        <v>469</v>
      </c>
      <c r="F37" s="214" t="s">
        <v>470</v>
      </c>
      <c r="G37" s="604" t="s">
        <v>68</v>
      </c>
      <c r="H37" s="64" t="s">
        <v>174</v>
      </c>
      <c r="R37" s="648" t="s">
        <v>38</v>
      </c>
      <c r="S37" s="649"/>
      <c r="T37" s="59">
        <f>Q23</f>
        <v>0</v>
      </c>
    </row>
    <row r="38" spans="2:22" ht="13.5" customHeight="1" thickBot="1">
      <c r="B38" s="4" t="s">
        <v>45</v>
      </c>
      <c r="C38" s="595" t="s">
        <v>73</v>
      </c>
      <c r="D38" s="52" t="s">
        <v>71</v>
      </c>
      <c r="E38" s="26" t="s">
        <v>468</v>
      </c>
      <c r="F38" s="52" t="s">
        <v>471</v>
      </c>
      <c r="G38" s="605" t="s">
        <v>382</v>
      </c>
      <c r="H38" s="64" t="s">
        <v>325</v>
      </c>
      <c r="R38" s="637" t="s">
        <v>39</v>
      </c>
      <c r="S38" s="915"/>
      <c r="T38" s="60">
        <f>Q28</f>
        <v>0</v>
      </c>
    </row>
    <row r="39" spans="2:22" ht="18.75" customHeight="1">
      <c r="B39" s="2" t="str">
        <f>IF(G39&lt;&gt;0,MAX(B$38:B38)+1,"")</f>
        <v/>
      </c>
      <c r="C39" s="599"/>
      <c r="D39" s="344"/>
      <c r="E39" s="344"/>
      <c r="F39" s="344"/>
      <c r="G39" s="606"/>
      <c r="H39" s="64" t="s">
        <v>175</v>
      </c>
      <c r="Q39" s="56" t="str">
        <f>Q25</f>
        <v>（B)の最高</v>
      </c>
      <c r="R39" s="57">
        <f>R25</f>
        <v>50000</v>
      </c>
      <c r="S39" s="56" t="str">
        <f>Q33</f>
        <v>（C)の最高</v>
      </c>
      <c r="T39" s="58">
        <f>R33</f>
        <v>15000</v>
      </c>
      <c r="U39" s="21"/>
    </row>
    <row r="40" spans="2:22" ht="18.75" customHeight="1">
      <c r="B40" s="2" t="str">
        <f>IF(G40&lt;&gt;0,MAX(B$38:B39)+1,"")</f>
        <v/>
      </c>
      <c r="C40" s="599"/>
      <c r="D40" s="344"/>
      <c r="E40" s="344"/>
      <c r="F40" s="344"/>
      <c r="G40" s="606"/>
      <c r="I40" s="64" t="s">
        <v>318</v>
      </c>
      <c r="P40" s="7" t="s">
        <v>32</v>
      </c>
      <c r="Q40" s="30">
        <f>R23</f>
        <v>0</v>
      </c>
      <c r="R40" s="2" t="s">
        <v>40</v>
      </c>
      <c r="S40" s="4" t="s">
        <v>41</v>
      </c>
      <c r="T40" s="337">
        <f>R28</f>
        <v>0</v>
      </c>
      <c r="U40" s="21"/>
      <c r="V40" s="21"/>
    </row>
    <row r="41" spans="2:22" ht="18.75" customHeight="1" thickBot="1">
      <c r="B41" s="2" t="str">
        <f>IF(G41&lt;&gt;0,MAX(B$38:B40)+1,"")</f>
        <v/>
      </c>
      <c r="C41" s="599"/>
      <c r="D41" s="344"/>
      <c r="E41" s="344"/>
      <c r="F41" s="344"/>
      <c r="G41" s="606"/>
      <c r="I41" s="64" t="s">
        <v>297</v>
      </c>
      <c r="P41" s="914" t="s">
        <v>44</v>
      </c>
      <c r="Q41" s="914"/>
      <c r="R41" s="914"/>
      <c r="S41" s="914"/>
      <c r="T41" s="914"/>
      <c r="U41" s="21"/>
      <c r="V41" s="21"/>
    </row>
    <row r="42" spans="2:22" ht="18.75" customHeight="1" thickBot="1">
      <c r="B42" s="2" t="str">
        <f>IF(G42&lt;&gt;0,MAX(B$38:B41)+1,"")</f>
        <v/>
      </c>
      <c r="C42" s="599"/>
      <c r="D42" s="344"/>
      <c r="E42" s="344"/>
      <c r="F42" s="344"/>
      <c r="G42" s="606"/>
      <c r="I42" s="64" t="s">
        <v>176</v>
      </c>
      <c r="S42" s="7" t="s">
        <v>42</v>
      </c>
      <c r="T42" s="39">
        <f>MIN(R23+R28,U30)</f>
        <v>0</v>
      </c>
      <c r="U42" s="30"/>
      <c r="V42" s="30"/>
    </row>
    <row r="43" spans="2:22" ht="18.75" customHeight="1">
      <c r="B43" s="2" t="str">
        <f>IF(G43&lt;&gt;0,MAX(B$38:B42)+1,"")</f>
        <v/>
      </c>
      <c r="C43" s="599"/>
      <c r="D43" s="344"/>
      <c r="E43" s="344"/>
      <c r="F43" s="344"/>
      <c r="G43" s="606"/>
      <c r="I43" s="64" t="s">
        <v>312</v>
      </c>
      <c r="J43" s="64"/>
      <c r="N43" s="2"/>
      <c r="U43" s="21"/>
      <c r="V43" s="21"/>
    </row>
    <row r="44" spans="2:22" ht="18.75" customHeight="1" thickBot="1">
      <c r="B44" s="2" t="str">
        <f>IF(G44&lt;&gt;0,MAX(B$38:B43)+1,"")</f>
        <v/>
      </c>
      <c r="C44" s="599"/>
      <c r="D44" s="344"/>
      <c r="E44" s="344"/>
      <c r="F44" s="344"/>
      <c r="G44" s="606"/>
      <c r="I44" s="64" t="s">
        <v>177</v>
      </c>
      <c r="J44" s="64"/>
      <c r="N44" s="2"/>
    </row>
    <row r="45" spans="2:22" ht="18.75" customHeight="1" thickBot="1">
      <c r="B45" s="2" t="str">
        <f>IF(G45&lt;&gt;0,MAX(B$38:B44)+1,"")</f>
        <v/>
      </c>
      <c r="C45" s="599"/>
      <c r="D45" s="344"/>
      <c r="E45" s="344"/>
      <c r="F45" s="344"/>
      <c r="G45" s="606"/>
      <c r="H45" s="64"/>
      <c r="J45" s="64"/>
      <c r="N45" s="2"/>
      <c r="P45" s="64"/>
      <c r="S45" s="7" t="s">
        <v>46</v>
      </c>
      <c r="T45" s="39">
        <f>SUM(G39:G49)</f>
        <v>0</v>
      </c>
    </row>
    <row r="46" spans="2:22" ht="18.75" customHeight="1">
      <c r="B46" s="2" t="str">
        <f>IF(G46&lt;&gt;0,MAX(B$38:B45)+1,"")</f>
        <v/>
      </c>
      <c r="C46" s="599"/>
      <c r="D46" s="344"/>
      <c r="E46" s="344"/>
      <c r="F46" s="344"/>
      <c r="G46" s="606"/>
      <c r="H46" s="64"/>
      <c r="I46" s="64"/>
      <c r="N46" s="2"/>
    </row>
    <row r="47" spans="2:22" ht="18.75" customHeight="1">
      <c r="B47" s="2" t="str">
        <f>IF(G47&lt;&gt;0,MAX(B$38:B46)+1,"")</f>
        <v/>
      </c>
      <c r="C47" s="599"/>
      <c r="D47" s="344"/>
      <c r="E47" s="344"/>
      <c r="F47" s="344"/>
      <c r="G47" s="606"/>
      <c r="H47" s="64"/>
      <c r="I47" s="64"/>
      <c r="N47" s="2"/>
    </row>
    <row r="48" spans="2:22" ht="18" customHeight="1" thickBot="1">
      <c r="B48" s="2" t="str">
        <f>IF(G48&lt;&gt;0,MAX(B$38:B47)+1,"")</f>
        <v/>
      </c>
      <c r="C48" s="601"/>
      <c r="D48" s="602"/>
      <c r="E48" s="602"/>
      <c r="F48" s="602"/>
      <c r="G48" s="607"/>
      <c r="N48" s="2"/>
    </row>
    <row r="49" spans="2:14" ht="18.75" hidden="1" customHeight="1">
      <c r="B49" s="2">
        <f>MAX(B$38:B48)+1</f>
        <v>1</v>
      </c>
      <c r="C49" s="592"/>
      <c r="D49" s="592"/>
      <c r="E49" s="592"/>
      <c r="F49" s="592"/>
      <c r="G49" s="592"/>
      <c r="H49" s="64"/>
      <c r="I49" s="64"/>
      <c r="N49" s="2"/>
    </row>
    <row r="50" spans="2:14" ht="18.75" customHeight="1">
      <c r="H50" s="64"/>
      <c r="I50" s="64"/>
      <c r="N50" s="2"/>
    </row>
    <row r="51" spans="2:14" ht="18.75" customHeight="1"/>
    <row r="52" spans="2:14" ht="20.25" customHeight="1"/>
    <row r="53" spans="2:14" ht="20.25" customHeight="1"/>
    <row r="54" spans="2:14" ht="20.25" customHeight="1"/>
    <row r="55" spans="2:14" ht="12" customHeight="1"/>
    <row r="56" spans="2:14" ht="13.5" customHeight="1"/>
    <row r="57" spans="2:14" ht="13.5" customHeight="1"/>
    <row r="58" spans="2:14" ht="13.5" customHeight="1"/>
    <row r="59" spans="2:14" ht="13.5" customHeight="1"/>
  </sheetData>
  <mergeCells count="9">
    <mergeCell ref="C9:K9"/>
    <mergeCell ref="R37:S37"/>
    <mergeCell ref="P41:T41"/>
    <mergeCell ref="R38:S38"/>
    <mergeCell ref="C14:E14"/>
    <mergeCell ref="C17:E17"/>
    <mergeCell ref="C15:E15"/>
    <mergeCell ref="C16:E16"/>
    <mergeCell ref="C13:E13"/>
  </mergeCells>
  <phoneticPr fontId="2"/>
  <conditionalFormatting sqref="C24:J33 C39:G48">
    <cfRule type="expression" dxfId="1" priority="3">
      <formula>ISODD(ROW())</formula>
    </cfRule>
    <cfRule type="expression" dxfId="0" priority="4">
      <formula>ISEVEN(ROW())</formula>
    </cfRule>
  </conditionalFormatting>
  <dataValidations count="6">
    <dataValidation type="list" allowBlank="1" showInputMessage="1" showErrorMessage="1" sqref="I2 I24:I33" xr:uid="{00000000-0002-0000-0500-000000000000}">
      <formula1>$S$31:$U$31</formula1>
    </dataValidation>
    <dataValidation imeMode="hiragana" allowBlank="1" showInputMessage="1" showErrorMessage="1" sqref="C39:F48 C24:E33" xr:uid="{00000000-0002-0000-0500-000001000000}"/>
    <dataValidation imeMode="off" allowBlank="1" showInputMessage="1" showErrorMessage="1" sqref="F14:F17 G39:G48 J24:J33" xr:uid="{00000000-0002-0000-0500-000002000000}"/>
    <dataValidation type="list" imeMode="hiragana" allowBlank="1" showInputMessage="1" showErrorMessage="1" sqref="F24:F33" xr:uid="{2F1FCC00-C7AC-45E2-9F14-262B723DBC82}">
      <formula1>$T$22:$T$27</formula1>
    </dataValidation>
    <dataValidation type="list" imeMode="hiragana" allowBlank="1" showInputMessage="1" showErrorMessage="1" sqref="G24:G33" xr:uid="{0C902483-78E0-4FD8-93B0-D110CD3AD165}">
      <formula1>$U$22:$U$27</formula1>
    </dataValidation>
    <dataValidation type="list" imeMode="hiragana" allowBlank="1" showInputMessage="1" showErrorMessage="1" sqref="H24:H33" xr:uid="{A1CB9C2E-41BF-4284-AEE7-2431DF78CF16}">
      <formula1>$V$22:$V$27</formula1>
    </dataValidation>
  </dataValidations>
  <pageMargins left="0.7" right="0.32" top="0.35" bottom="0.3" header="0.3" footer="0.3"/>
  <pageSetup paperSize="9" scale="69"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Y101"/>
  <sheetViews>
    <sheetView showGridLines="0" topLeftCell="A35" zoomScale="110" zoomScaleNormal="110" workbookViewId="0">
      <selection activeCell="C35" sqref="C35"/>
    </sheetView>
  </sheetViews>
  <sheetFormatPr defaultRowHeight="13.5"/>
  <cols>
    <col min="2" max="2" width="5.75" customWidth="1"/>
    <col min="3" max="3" width="6.75" customWidth="1"/>
    <col min="4" max="4" width="2" customWidth="1"/>
    <col min="5" max="5" width="2.625" customWidth="1"/>
    <col min="6" max="52" width="3" customWidth="1"/>
    <col min="53" max="53" width="3.75" customWidth="1"/>
    <col min="54" max="54" width="2" customWidth="1"/>
    <col min="55" max="55" width="2.875" customWidth="1"/>
    <col min="56" max="56" width="25.875" customWidth="1"/>
    <col min="57" max="57" width="9.875" customWidth="1"/>
    <col min="60" max="60" width="5.5" customWidth="1"/>
    <col min="61" max="61" width="2" customWidth="1"/>
    <col min="62" max="62" width="2.75" customWidth="1"/>
    <col min="63" max="66" width="2.625" customWidth="1"/>
    <col min="67" max="67" width="2.75" customWidth="1"/>
    <col min="68" max="69" width="2.625" customWidth="1"/>
    <col min="70" max="71" width="2.25" customWidth="1"/>
    <col min="72" max="74" width="2.75" customWidth="1"/>
    <col min="75" max="75" width="2.625" customWidth="1"/>
    <col min="76" max="76" width="2.875" customWidth="1"/>
    <col min="77" max="77" width="1.5" customWidth="1"/>
    <col min="78" max="78" width="4.25" customWidth="1"/>
    <col min="79" max="79" width="2.75" customWidth="1"/>
    <col min="80" max="86" width="2.25" customWidth="1"/>
    <col min="87" max="87" width="3.25" customWidth="1"/>
    <col min="88" max="88" width="1.25" customWidth="1"/>
    <col min="89" max="89" width="3.375" customWidth="1"/>
    <col min="90" max="90" width="1.875" customWidth="1"/>
    <col min="91" max="91" width="3.75" customWidth="1"/>
    <col min="92" max="92" width="3.375" customWidth="1"/>
    <col min="93" max="94" width="2.625" customWidth="1"/>
    <col min="95" max="97" width="3" customWidth="1"/>
    <col min="98" max="98" width="2" customWidth="1"/>
    <col min="99" max="99" width="6.875" customWidth="1"/>
    <col min="100" max="100" width="1.875" customWidth="1"/>
    <col min="101" max="102" width="5.25" customWidth="1"/>
    <col min="103" max="103" width="1.75" customWidth="1"/>
    <col min="104" max="106" width="1.625" customWidth="1"/>
    <col min="107" max="109" width="1.75" customWidth="1"/>
    <col min="110" max="114" width="1.5" customWidth="1"/>
    <col min="115" max="115" width="1.625" customWidth="1"/>
    <col min="116" max="116" width="1.75" customWidth="1"/>
    <col min="117" max="117" width="2.5" customWidth="1"/>
    <col min="118" max="118" width="2.75" customWidth="1"/>
    <col min="119" max="122" width="1.25" customWidth="1"/>
    <col min="123" max="124" width="1.625" customWidth="1"/>
    <col min="125" max="127" width="1.875" customWidth="1"/>
    <col min="128" max="129" width="1.625" customWidth="1"/>
    <col min="130" max="132" width="1.75" customWidth="1"/>
    <col min="133" max="133" width="1.625" customWidth="1"/>
    <col min="134" max="136" width="1.75" customWidth="1"/>
    <col min="137" max="137" width="3" customWidth="1"/>
    <col min="138" max="138" width="5" customWidth="1"/>
    <col min="139" max="140" width="3.125" customWidth="1"/>
    <col min="141" max="141" width="5" customWidth="1"/>
    <col min="142" max="142" width="8.625" customWidth="1"/>
    <col min="143" max="146" width="2" customWidth="1"/>
    <col min="147" max="160" width="3.125" customWidth="1"/>
    <col min="161" max="161" width="1.125" customWidth="1"/>
    <col min="162" max="164" width="3.125" customWidth="1"/>
    <col min="165" max="165" width="4.375" customWidth="1"/>
    <col min="166" max="196" width="3.125" customWidth="1"/>
  </cols>
  <sheetData>
    <row r="1" spans="1:181" ht="25.5" customHeight="1">
      <c r="A1" s="992" t="s">
        <v>321</v>
      </c>
      <c r="B1" s="993"/>
      <c r="C1" s="994"/>
      <c r="D1" s="365"/>
      <c r="E1" s="130"/>
      <c r="BC1" s="130"/>
      <c r="BH1" s="27"/>
      <c r="BI1" s="27"/>
      <c r="BJ1" s="972"/>
      <c r="BK1" s="972"/>
      <c r="BL1" s="972"/>
      <c r="BM1" s="972"/>
      <c r="BN1" s="972"/>
      <c r="BO1" s="972"/>
      <c r="BP1" s="972"/>
      <c r="BQ1" s="972"/>
      <c r="BR1" s="972"/>
      <c r="BS1" s="972"/>
      <c r="BT1" s="972"/>
      <c r="BU1" s="972"/>
      <c r="BV1" s="972"/>
      <c r="BW1" s="972"/>
      <c r="BX1" s="972"/>
      <c r="BY1" s="972"/>
      <c r="BZ1" s="972"/>
      <c r="CA1" s="972"/>
      <c r="CB1" s="972"/>
      <c r="CC1" s="972"/>
      <c r="CD1" s="972"/>
      <c r="CE1" s="972"/>
      <c r="CF1" s="972"/>
      <c r="CG1" s="972"/>
      <c r="CH1" s="972"/>
      <c r="CI1" s="972"/>
      <c r="CJ1" s="972"/>
      <c r="CK1" s="972"/>
      <c r="CL1" s="972"/>
      <c r="CM1" s="61"/>
      <c r="CN1" s="61"/>
      <c r="CO1" s="61"/>
      <c r="CP1" s="61"/>
      <c r="CZ1" s="979"/>
      <c r="DA1" s="979"/>
      <c r="DB1" s="979"/>
      <c r="DC1" s="979"/>
      <c r="DD1" s="979"/>
      <c r="DE1" s="979"/>
      <c r="DF1" s="980"/>
      <c r="DG1" s="980"/>
      <c r="DH1" s="980"/>
      <c r="DI1" s="980"/>
      <c r="DJ1" s="980"/>
      <c r="DK1" s="975"/>
      <c r="DL1" s="975"/>
      <c r="DM1" s="975"/>
      <c r="DN1" s="975"/>
      <c r="DO1" s="975"/>
      <c r="DP1" s="975"/>
      <c r="DQ1" s="975"/>
      <c r="DR1" s="975"/>
      <c r="DS1" s="975"/>
      <c r="DT1" s="975"/>
      <c r="DU1" s="982"/>
      <c r="DV1" s="982"/>
      <c r="DW1" s="982"/>
      <c r="DX1" s="981"/>
      <c r="DY1" s="981"/>
      <c r="DZ1" s="981"/>
      <c r="EA1" s="981"/>
      <c r="EB1" s="981"/>
      <c r="EC1" s="981"/>
      <c r="ED1" s="975"/>
      <c r="EE1" s="975"/>
      <c r="EF1" s="975"/>
      <c r="EG1" s="113"/>
      <c r="EH1" s="113"/>
      <c r="EM1" s="34"/>
      <c r="FK1" s="72"/>
      <c r="FL1" s="345">
        <v>1</v>
      </c>
      <c r="FM1" s="346">
        <v>2</v>
      </c>
      <c r="FN1" s="345">
        <v>3</v>
      </c>
      <c r="FO1" s="346">
        <v>4</v>
      </c>
      <c r="FP1" s="345">
        <v>5</v>
      </c>
      <c r="FQ1" s="346">
        <v>6</v>
      </c>
      <c r="FR1" s="345">
        <v>7</v>
      </c>
      <c r="FS1" s="346">
        <v>8</v>
      </c>
      <c r="FT1" s="345">
        <v>9</v>
      </c>
      <c r="FU1" s="346">
        <v>10</v>
      </c>
      <c r="FV1" s="345">
        <v>11</v>
      </c>
      <c r="FW1" s="346">
        <v>12</v>
      </c>
      <c r="FX1" s="345">
        <v>13</v>
      </c>
    </row>
    <row r="2" spans="1:181" ht="12.75" customHeight="1">
      <c r="A2" s="995"/>
      <c r="B2" s="996"/>
      <c r="C2" s="997"/>
      <c r="D2" s="365"/>
      <c r="E2" s="130"/>
      <c r="BC2" s="130"/>
      <c r="BD2" s="55"/>
      <c r="BE2" s="55"/>
      <c r="BH2" s="23"/>
      <c r="BI2" s="23"/>
      <c r="BJ2" s="973"/>
      <c r="BK2" s="973"/>
      <c r="BL2" s="973"/>
      <c r="BM2" s="973"/>
      <c r="BN2" s="973"/>
      <c r="BO2" s="973"/>
      <c r="BP2" s="973"/>
      <c r="BQ2" s="973"/>
      <c r="BR2" s="974"/>
      <c r="BS2" s="974"/>
      <c r="BT2" s="974"/>
      <c r="BU2" s="974"/>
      <c r="BV2" s="974"/>
      <c r="BW2" s="974"/>
      <c r="BX2" s="974"/>
      <c r="BY2" s="974"/>
      <c r="BZ2" s="974"/>
      <c r="CA2" s="974"/>
      <c r="CB2" s="974"/>
      <c r="CC2" s="974"/>
      <c r="CD2" s="973"/>
      <c r="CE2" s="973"/>
      <c r="CF2" s="974"/>
      <c r="CG2" s="974"/>
      <c r="CH2" s="974"/>
      <c r="CI2" s="974"/>
      <c r="CJ2" s="974"/>
      <c r="CK2" s="974"/>
      <c r="CL2" s="974"/>
      <c r="CM2" s="61"/>
      <c r="CN2" s="61"/>
      <c r="CO2" s="61"/>
      <c r="CP2" s="61"/>
      <c r="CW2" s="2"/>
      <c r="CX2" s="2"/>
      <c r="CZ2" s="956"/>
      <c r="DA2" s="956"/>
      <c r="DB2" s="956"/>
      <c r="DC2" s="956"/>
      <c r="DD2" s="956"/>
      <c r="DE2" s="956"/>
      <c r="DF2" s="956"/>
      <c r="DG2" s="956"/>
      <c r="DH2" s="956"/>
      <c r="DI2" s="956"/>
      <c r="DJ2" s="956"/>
      <c r="DK2" s="956"/>
      <c r="DL2" s="956"/>
      <c r="DM2" s="956"/>
      <c r="DN2" s="956"/>
      <c r="DO2" s="956"/>
      <c r="DP2" s="956"/>
      <c r="DQ2" s="956"/>
      <c r="DR2" s="956"/>
      <c r="DS2" s="956"/>
      <c r="DT2" s="956"/>
      <c r="DU2" s="956"/>
      <c r="DV2" s="956"/>
      <c r="DW2" s="956"/>
      <c r="DX2" s="957"/>
      <c r="DY2" s="957"/>
      <c r="DZ2" s="957"/>
      <c r="EA2" s="957"/>
      <c r="EB2" s="957"/>
      <c r="EC2" s="957"/>
      <c r="ED2" s="956"/>
      <c r="EE2" s="956"/>
      <c r="EF2" s="956"/>
      <c r="EG2" s="114"/>
      <c r="EH2" s="114"/>
      <c r="EQ2" s="945" t="str">
        <f>'①入力(基礎控除)'!G5</f>
        <v>アアアアアイチ</v>
      </c>
      <c r="ER2" s="945"/>
      <c r="ES2" s="945"/>
      <c r="ET2" s="945"/>
      <c r="EU2" s="945"/>
      <c r="EV2" s="945"/>
      <c r="EW2" s="945"/>
      <c r="EX2" s="945"/>
      <c r="EY2" s="945"/>
      <c r="EZ2" s="945"/>
      <c r="FA2" s="945"/>
      <c r="FF2" s="324"/>
      <c r="FG2" s="324"/>
      <c r="FH2" s="324"/>
      <c r="FI2" s="324"/>
      <c r="FJ2" s="324"/>
      <c r="FK2" s="324"/>
      <c r="FL2" s="949" t="str">
        <f>"　"&amp;TEXT('①入力(基礎控除)'!O2,"＃")</f>
        <v>　給与の支払い者おおおお</v>
      </c>
      <c r="FM2" s="949"/>
      <c r="FN2" s="949"/>
      <c r="FO2" s="949"/>
      <c r="FP2" s="949"/>
      <c r="FQ2" s="949"/>
      <c r="FR2" s="949"/>
      <c r="FS2" s="949"/>
      <c r="FT2" s="949"/>
      <c r="FU2" s="949"/>
      <c r="FV2" s="949"/>
      <c r="FW2" s="949"/>
      <c r="FX2" s="949"/>
      <c r="FY2" s="324"/>
    </row>
    <row r="3" spans="1:181" ht="12.75" customHeight="1">
      <c r="E3" s="130"/>
      <c r="BC3" s="130"/>
      <c r="BH3" s="2"/>
      <c r="BI3" s="2"/>
      <c r="BJ3" s="2"/>
      <c r="BK3" s="2"/>
      <c r="BL3" s="2"/>
      <c r="BM3" s="947"/>
      <c r="BN3" s="947"/>
      <c r="BO3" s="947"/>
      <c r="BP3" s="2"/>
      <c r="BQ3" s="2"/>
      <c r="BR3" s="2"/>
      <c r="BS3" s="2"/>
      <c r="BT3" s="2"/>
      <c r="BU3" s="2"/>
      <c r="BV3" s="2"/>
      <c r="BW3" s="2"/>
      <c r="BX3" s="2"/>
      <c r="BY3" s="2"/>
      <c r="BZ3" s="2"/>
      <c r="CA3" s="2"/>
      <c r="CB3" s="2"/>
      <c r="CC3" s="2"/>
      <c r="CD3" s="2"/>
      <c r="CE3" s="2"/>
      <c r="CF3" s="2"/>
      <c r="CG3" s="2"/>
      <c r="CH3" s="2"/>
      <c r="CI3" s="2"/>
      <c r="CJ3" s="2"/>
      <c r="CK3" s="2"/>
      <c r="CL3" s="2"/>
      <c r="CM3" s="2"/>
      <c r="CW3" s="2"/>
      <c r="CX3" s="2"/>
      <c r="CZ3" s="368"/>
      <c r="DA3" s="368"/>
      <c r="DB3" s="368"/>
      <c r="DD3" s="7"/>
      <c r="DF3" s="947"/>
      <c r="DG3" s="947"/>
      <c r="DH3" s="947"/>
      <c r="DM3" s="368"/>
      <c r="DN3" s="368"/>
      <c r="DO3" s="368"/>
      <c r="DP3" s="368"/>
      <c r="DQ3" s="368"/>
      <c r="DR3" s="368"/>
      <c r="DS3" s="368"/>
      <c r="DT3" s="368"/>
      <c r="DU3" s="369"/>
      <c r="DV3" s="369"/>
      <c r="DW3" s="369"/>
      <c r="DX3" s="112"/>
      <c r="DY3" s="112"/>
      <c r="DZ3" s="112"/>
      <c r="EA3" s="112"/>
      <c r="EB3" s="112"/>
      <c r="EC3" s="41"/>
      <c r="ED3" s="65"/>
      <c r="EE3" s="65"/>
      <c r="EF3" s="65"/>
      <c r="EQ3" s="945" t="str">
        <f>'①入力(基礎控除)'!C5</f>
        <v>あああ１</v>
      </c>
      <c r="ER3" s="945"/>
      <c r="ES3" s="945"/>
      <c r="ET3" s="945"/>
      <c r="EU3" s="945"/>
      <c r="EV3" s="945"/>
      <c r="EW3" s="945"/>
      <c r="EX3" s="945"/>
      <c r="EY3" s="945"/>
      <c r="EZ3" s="945"/>
      <c r="FA3" s="945"/>
      <c r="FE3" s="134"/>
      <c r="FF3" s="325"/>
      <c r="FG3" s="325"/>
      <c r="FH3" s="326"/>
      <c r="FI3" s="324"/>
      <c r="FJ3" s="324"/>
      <c r="FK3" s="324"/>
      <c r="FL3" s="949"/>
      <c r="FM3" s="949"/>
      <c r="FN3" s="949"/>
      <c r="FO3" s="949"/>
      <c r="FP3" s="949"/>
      <c r="FQ3" s="949"/>
      <c r="FR3" s="949"/>
      <c r="FS3" s="949"/>
      <c r="FT3" s="949"/>
      <c r="FU3" s="949"/>
      <c r="FV3" s="949"/>
      <c r="FW3" s="949"/>
      <c r="FX3" s="949"/>
      <c r="FY3" s="324"/>
    </row>
    <row r="4" spans="1:181" ht="12.75" customHeight="1">
      <c r="B4" s="405">
        <v>1</v>
      </c>
      <c r="C4" s="356" t="str">
        <f>IF(B4=A16,"","枚目")</f>
        <v>枚目</v>
      </c>
      <c r="E4" s="130"/>
      <c r="BC4" s="130"/>
      <c r="BF4" s="16">
        <f>A7</f>
        <v>0</v>
      </c>
      <c r="BG4" s="48"/>
      <c r="CF4" s="974"/>
      <c r="CG4" s="974"/>
      <c r="CH4" s="974"/>
      <c r="CI4" s="974"/>
      <c r="CJ4" s="974"/>
      <c r="CK4" s="34"/>
      <c r="CW4" s="2"/>
      <c r="EQ4" s="945"/>
      <c r="ER4" s="945"/>
      <c r="ES4" s="945"/>
      <c r="ET4" s="945"/>
      <c r="EU4" s="945"/>
      <c r="EV4" s="945"/>
      <c r="EW4" s="945"/>
      <c r="EX4" s="945"/>
      <c r="EY4" s="945"/>
      <c r="EZ4" s="945"/>
      <c r="FA4" s="945"/>
      <c r="FE4" s="134"/>
      <c r="FF4" s="325"/>
      <c r="FG4" s="325"/>
      <c r="FH4" s="326"/>
      <c r="FI4" s="324"/>
      <c r="FJ4" s="324"/>
      <c r="FK4" s="324"/>
      <c r="FL4" s="948" t="str">
        <f>IF($FT$11*1=0,"",MID($FT11,FL1,1))</f>
        <v>1</v>
      </c>
      <c r="FM4" s="948" t="str">
        <f t="shared" ref="FM4:FX4" si="0">IF($FT$11*1=0,"",MID($FT11,FM1,1))</f>
        <v>2</v>
      </c>
      <c r="FN4" s="948" t="str">
        <f t="shared" si="0"/>
        <v>3</v>
      </c>
      <c r="FO4" s="948" t="str">
        <f t="shared" si="0"/>
        <v>4</v>
      </c>
      <c r="FP4" s="948" t="str">
        <f t="shared" si="0"/>
        <v>5</v>
      </c>
      <c r="FQ4" s="948" t="str">
        <f t="shared" si="0"/>
        <v>6</v>
      </c>
      <c r="FR4" s="948" t="str">
        <f t="shared" si="0"/>
        <v>7</v>
      </c>
      <c r="FS4" s="948" t="str">
        <f t="shared" si="0"/>
        <v>8</v>
      </c>
      <c r="FT4" s="948" t="str">
        <f t="shared" si="0"/>
        <v>9</v>
      </c>
      <c r="FU4" s="948" t="str">
        <f t="shared" si="0"/>
        <v>1</v>
      </c>
      <c r="FV4" s="948" t="str">
        <f t="shared" si="0"/>
        <v>2</v>
      </c>
      <c r="FW4" s="948" t="str">
        <f t="shared" si="0"/>
        <v>3</v>
      </c>
      <c r="FX4" s="948" t="str">
        <f t="shared" si="0"/>
        <v>4</v>
      </c>
      <c r="FY4" s="324"/>
    </row>
    <row r="5" spans="1:181" ht="12.75" customHeight="1">
      <c r="A5" s="983" t="s">
        <v>319</v>
      </c>
      <c r="B5" s="984"/>
      <c r="C5" s="985"/>
      <c r="E5" s="130"/>
      <c r="BC5" s="130"/>
      <c r="BF5" s="22">
        <f ca="1">IF(B4=A16,OFFSET(A16,-1,0)+100,B4)</f>
        <v>1</v>
      </c>
      <c r="BG5" s="50" t="str">
        <f>C4</f>
        <v>枚目</v>
      </c>
      <c r="CF5" s="974"/>
      <c r="CG5" s="974"/>
      <c r="CH5" s="974"/>
      <c r="CI5" s="974"/>
      <c r="CJ5" s="974"/>
      <c r="CK5" s="350"/>
      <c r="CM5" s="16" t="s">
        <v>158</v>
      </c>
      <c r="CN5" s="47"/>
      <c r="CO5" s="47"/>
      <c r="CP5" s="47"/>
      <c r="CQ5" s="48"/>
      <c r="EQ5" s="945" t="str">
        <f>'①入力(基礎控除)'!C8</f>
        <v>柏市おおおおお町１１１－９９９９　おおおおお荘２２２号</v>
      </c>
      <c r="ER5" s="945"/>
      <c r="ES5" s="945"/>
      <c r="ET5" s="945"/>
      <c r="EU5" s="945"/>
      <c r="EV5" s="945"/>
      <c r="EW5" s="945"/>
      <c r="EX5" s="945"/>
      <c r="EY5" s="945"/>
      <c r="EZ5" s="945"/>
      <c r="FA5" s="945"/>
      <c r="FE5" s="2"/>
      <c r="FF5" s="955" t="str">
        <f>'①入力(基礎控除)'!K1</f>
        <v>ああああ</v>
      </c>
      <c r="FG5" s="955"/>
      <c r="FH5" s="955"/>
      <c r="FI5" s="324"/>
      <c r="FJ5" s="324"/>
      <c r="FK5" s="324"/>
      <c r="FL5" s="948"/>
      <c r="FM5" s="948"/>
      <c r="FN5" s="948"/>
      <c r="FO5" s="948"/>
      <c r="FP5" s="948"/>
      <c r="FQ5" s="948"/>
      <c r="FR5" s="948"/>
      <c r="FS5" s="948"/>
      <c r="FT5" s="948"/>
      <c r="FU5" s="948"/>
      <c r="FV5" s="948"/>
      <c r="FW5" s="948"/>
      <c r="FX5" s="948"/>
      <c r="FY5" s="324"/>
    </row>
    <row r="6" spans="1:181" ht="12.75" customHeight="1">
      <c r="A6" s="986"/>
      <c r="B6" s="987"/>
      <c r="C6" s="988"/>
      <c r="D6" s="118"/>
      <c r="E6" s="175"/>
      <c r="BC6" s="130"/>
      <c r="CF6" s="974"/>
      <c r="CG6" s="974"/>
      <c r="CH6" s="974"/>
      <c r="CI6" s="974"/>
      <c r="CJ6" s="974"/>
      <c r="CK6" s="350"/>
      <c r="CM6" s="662" t="str">
        <f>設定!I33</f>
        <v>印字する</v>
      </c>
      <c r="CN6" s="663"/>
      <c r="CO6" s="49"/>
      <c r="CP6" s="49"/>
      <c r="CQ6" s="50"/>
      <c r="CW6" s="38" t="s">
        <v>78</v>
      </c>
      <c r="EQ6" s="945"/>
      <c r="ER6" s="945"/>
      <c r="ES6" s="945"/>
      <c r="ET6" s="945"/>
      <c r="EU6" s="945"/>
      <c r="EV6" s="945"/>
      <c r="EW6" s="945"/>
      <c r="EX6" s="945"/>
      <c r="EY6" s="945"/>
      <c r="EZ6" s="945"/>
      <c r="FA6" s="945"/>
      <c r="FE6" s="2"/>
      <c r="FF6" s="955"/>
      <c r="FG6" s="955"/>
      <c r="FH6" s="955"/>
      <c r="FI6" s="324"/>
      <c r="FJ6" s="324"/>
      <c r="FK6" s="324"/>
      <c r="FL6" s="949" t="str">
        <f>"　"&amp;TEXT('①入力(基礎控除)'!O1,"＃")</f>
        <v>　千葉市中央区あああああ１１１１－１１１１１１</v>
      </c>
      <c r="FM6" s="949"/>
      <c r="FN6" s="949"/>
      <c r="FO6" s="949"/>
      <c r="FP6" s="949"/>
      <c r="FQ6" s="949"/>
      <c r="FR6" s="949"/>
      <c r="FS6" s="949"/>
      <c r="FT6" s="949"/>
      <c r="FU6" s="949"/>
      <c r="FV6" s="949"/>
      <c r="FW6" s="949"/>
      <c r="FX6" s="949"/>
      <c r="FY6" s="324"/>
    </row>
    <row r="7" spans="1:181" ht="12.75" customHeight="1">
      <c r="A7" s="986"/>
      <c r="B7" s="987"/>
      <c r="C7" s="988"/>
      <c r="D7" s="118"/>
      <c r="E7" s="175"/>
      <c r="BC7" s="130"/>
      <c r="CM7" t="str">
        <f>設定!C34</f>
        <v>印字する</v>
      </c>
      <c r="CW7" s="25" t="s">
        <v>79</v>
      </c>
      <c r="EQ7" s="69"/>
      <c r="ER7" s="69"/>
      <c r="ES7" s="69"/>
      <c r="ET7" s="69"/>
      <c r="EU7" s="69"/>
      <c r="EV7" s="69"/>
      <c r="EW7" s="69"/>
      <c r="EX7" s="69"/>
      <c r="EY7" s="69"/>
      <c r="EZ7" s="69"/>
      <c r="FA7" s="69"/>
      <c r="FE7" s="134"/>
      <c r="FF7" s="324"/>
      <c r="FG7" s="324"/>
      <c r="FH7" s="325"/>
      <c r="FI7" s="324"/>
      <c r="FJ7" s="324"/>
      <c r="FK7" s="324"/>
      <c r="FL7" s="949"/>
      <c r="FM7" s="949"/>
      <c r="FN7" s="949"/>
      <c r="FO7" s="949"/>
      <c r="FP7" s="949"/>
      <c r="FQ7" s="949"/>
      <c r="FR7" s="949"/>
      <c r="FS7" s="949"/>
      <c r="FT7" s="949"/>
      <c r="FU7" s="949"/>
      <c r="FV7" s="949"/>
      <c r="FW7" s="949"/>
      <c r="FX7" s="949"/>
      <c r="FY7" s="324"/>
    </row>
    <row r="8" spans="1:181" ht="12.75" customHeight="1">
      <c r="A8" s="986"/>
      <c r="B8" s="987"/>
      <c r="C8" s="988"/>
      <c r="D8" s="27"/>
      <c r="E8" s="175"/>
      <c r="BC8" s="130"/>
      <c r="BJ8" s="69"/>
      <c r="BK8" s="69"/>
      <c r="BO8" t="s">
        <v>459</v>
      </c>
      <c r="BQ8" s="69"/>
      <c r="BR8" s="583" t="s">
        <v>407</v>
      </c>
      <c r="BS8" s="69"/>
      <c r="BT8" s="69"/>
      <c r="CM8" t="str">
        <f>設定!C35</f>
        <v>印字しない</v>
      </c>
      <c r="DF8" t="s">
        <v>459</v>
      </c>
      <c r="DK8" t="s">
        <v>407</v>
      </c>
      <c r="FF8" s="324"/>
      <c r="FG8" s="324"/>
      <c r="FH8" s="324"/>
      <c r="FI8" s="324"/>
      <c r="FJ8" s="324"/>
      <c r="FK8" s="324"/>
      <c r="FL8" s="324"/>
      <c r="FM8" s="324"/>
      <c r="FN8" s="324"/>
      <c r="FO8" s="324"/>
      <c r="FP8" s="324"/>
      <c r="FQ8" s="324"/>
      <c r="FR8" s="324"/>
      <c r="FS8" s="324"/>
      <c r="FT8" s="324"/>
      <c r="FU8" s="324"/>
      <c r="FV8" s="324"/>
      <c r="FW8" s="324"/>
      <c r="FX8" s="324"/>
      <c r="FY8" s="324"/>
    </row>
    <row r="9" spans="1:181" ht="12.75" customHeight="1">
      <c r="A9" s="989"/>
      <c r="B9" s="990"/>
      <c r="C9" s="991"/>
      <c r="D9" s="27"/>
      <c r="E9" s="175"/>
      <c r="BC9" s="130"/>
      <c r="BJ9" s="63" t="s">
        <v>28</v>
      </c>
      <c r="BK9" s="66"/>
      <c r="BL9" s="42"/>
      <c r="BM9" s="135"/>
      <c r="BN9" s="135"/>
      <c r="BO9" s="998">
        <f>設定!D40</f>
        <v>9</v>
      </c>
      <c r="BP9" s="953"/>
      <c r="BQ9" s="954"/>
      <c r="BR9" s="953">
        <f>設定!D44</f>
        <v>5</v>
      </c>
      <c r="BS9" s="953"/>
      <c r="BT9" s="954"/>
      <c r="BY9" s="947"/>
      <c r="BZ9" s="947"/>
      <c r="CA9" s="947"/>
      <c r="CB9" s="947"/>
      <c r="CX9" s="17"/>
      <c r="CY9" s="17"/>
      <c r="CZ9" s="42"/>
      <c r="DA9" s="17"/>
      <c r="DB9" s="42"/>
      <c r="DC9" s="42"/>
      <c r="DD9" s="43"/>
      <c r="DE9" s="143" t="s">
        <v>28</v>
      </c>
      <c r="DF9" s="953">
        <f>BO9</f>
        <v>9</v>
      </c>
      <c r="DG9" s="953"/>
      <c r="DH9" s="953"/>
      <c r="DI9" s="953"/>
      <c r="DJ9" s="954"/>
      <c r="DK9" s="953">
        <f>BR9</f>
        <v>5</v>
      </c>
      <c r="DL9" s="953"/>
      <c r="DM9" s="953"/>
      <c r="DN9" s="953"/>
      <c r="DO9" s="954"/>
      <c r="EJ9" s="2"/>
      <c r="FF9" s="324"/>
      <c r="FG9" s="325"/>
      <c r="FH9" s="325"/>
      <c r="FI9" s="327" t="s">
        <v>96</v>
      </c>
      <c r="FJ9" s="328"/>
      <c r="FK9" s="328"/>
      <c r="FL9" s="328"/>
      <c r="FM9" s="328"/>
      <c r="FN9" s="328"/>
      <c r="FO9" s="328"/>
      <c r="FP9" s="329"/>
      <c r="FQ9" s="324"/>
      <c r="FR9" s="324"/>
      <c r="FS9" s="324"/>
      <c r="FT9" s="324"/>
      <c r="FU9" s="324"/>
      <c r="FV9" s="324"/>
      <c r="FW9" s="324"/>
      <c r="FX9" s="324"/>
      <c r="FY9" s="324"/>
    </row>
    <row r="10" spans="1:181" ht="11.25" customHeight="1">
      <c r="A10" s="357"/>
      <c r="B10" s="358"/>
      <c r="C10" s="359" t="s">
        <v>178</v>
      </c>
      <c r="D10" s="27"/>
      <c r="E10" s="175"/>
      <c r="BC10" s="130"/>
      <c r="BI10" s="338" t="s">
        <v>147</v>
      </c>
      <c r="BJ10" s="75">
        <f>'③入力（生命保険）'!R28</f>
        <v>8</v>
      </c>
      <c r="BK10" s="75"/>
      <c r="BL10" s="75"/>
      <c r="BM10" s="75"/>
      <c r="BN10" s="75"/>
      <c r="BO10" s="75">
        <f>'③入力（生命保険）'!S28</f>
        <v>9</v>
      </c>
      <c r="BP10" s="75"/>
      <c r="BQ10" s="75"/>
      <c r="BR10" s="339"/>
      <c r="BS10" s="339"/>
      <c r="BT10" s="75">
        <f>'③入力（生命保険）'!U28</f>
        <v>11</v>
      </c>
      <c r="BU10" s="75"/>
      <c r="BV10" s="75"/>
      <c r="BW10" s="75"/>
      <c r="BX10" s="75">
        <f>'③入力（生命保険）'!V28</f>
        <v>12</v>
      </c>
      <c r="BY10" s="75"/>
      <c r="BZ10" s="75"/>
      <c r="CA10" s="75"/>
      <c r="CB10" s="75">
        <f>'③入力（生命保険）'!W28</f>
        <v>13</v>
      </c>
      <c r="CC10" s="75"/>
      <c r="CD10" s="75">
        <f>'③入力（生命保険）'!X28</f>
        <v>14</v>
      </c>
      <c r="CE10" s="75"/>
      <c r="CG10" s="75"/>
      <c r="CH10" s="75"/>
      <c r="CI10" s="455">
        <f>'③入力（生命保険）'!Y28</f>
        <v>15</v>
      </c>
      <c r="CJ10" s="75"/>
      <c r="CK10" s="75">
        <f>'③入力（生命保険）'!AJ28</f>
        <v>26</v>
      </c>
      <c r="CL10" s="75"/>
      <c r="CN10" s="75"/>
      <c r="CO10" s="455"/>
      <c r="CP10" s="75"/>
      <c r="CQ10" s="75">
        <f>'③入力（生命保険）'!T28</f>
        <v>10</v>
      </c>
      <c r="CR10" s="340"/>
      <c r="CS10" s="340"/>
      <c r="CX10" s="37" t="s">
        <v>458</v>
      </c>
      <c r="CY10" s="27"/>
      <c r="FF10" s="324"/>
      <c r="FG10" s="324"/>
      <c r="FH10" s="324"/>
      <c r="FI10" s="330"/>
      <c r="FJ10" s="324"/>
      <c r="FK10" s="324"/>
      <c r="FL10" s="324"/>
      <c r="FM10" s="331"/>
      <c r="FN10" s="324"/>
      <c r="FO10" s="324"/>
      <c r="FP10" s="332"/>
      <c r="FQ10" s="324"/>
      <c r="FR10" s="324"/>
      <c r="FS10" s="324"/>
      <c r="FT10" s="324"/>
      <c r="FU10" s="324"/>
      <c r="FV10" s="324"/>
      <c r="FW10" s="324"/>
      <c r="FX10" s="324"/>
      <c r="FY10" s="324"/>
    </row>
    <row r="11" spans="1:181" ht="11.25" customHeight="1">
      <c r="A11" s="156">
        <v>1</v>
      </c>
      <c r="B11" s="157" t="s">
        <v>144</v>
      </c>
      <c r="C11" s="158" t="str">
        <f ca="1">IF(AND(SUM(B46:B51)=0,設定!E28=1),"〇",IF(SUM(B46:B51)&gt;0,"〇","-"))</f>
        <v>〇</v>
      </c>
      <c r="D11" s="27"/>
      <c r="E11" s="175"/>
      <c r="BC11" s="130"/>
      <c r="BH11" s="23"/>
      <c r="BI11" s="338" t="s">
        <v>148</v>
      </c>
      <c r="BJ11" s="339">
        <f>'③入力（生命保険）'!R29</f>
        <v>7</v>
      </c>
      <c r="BK11" s="339"/>
      <c r="BL11" s="339"/>
      <c r="BM11" s="339"/>
      <c r="BN11" s="339"/>
      <c r="BO11" s="339">
        <f>'③入力（生命保険）'!S29</f>
        <v>8</v>
      </c>
      <c r="BP11" s="339"/>
      <c r="BQ11" s="339"/>
      <c r="BR11" s="339"/>
      <c r="BS11" s="339"/>
      <c r="BT11" s="339">
        <f>'③入力（生命保険）'!U29</f>
        <v>10</v>
      </c>
      <c r="BU11" s="339"/>
      <c r="BV11" s="339"/>
      <c r="BW11" s="339"/>
      <c r="BX11" s="339">
        <f>'③入力（生命保険）'!V29</f>
        <v>11</v>
      </c>
      <c r="BY11" s="339"/>
      <c r="BZ11" s="339"/>
      <c r="CA11" s="339"/>
      <c r="CB11" s="75">
        <f>'③入力（生命保険）'!W29</f>
        <v>12</v>
      </c>
      <c r="CC11" s="75"/>
      <c r="CD11" s="75"/>
      <c r="CE11" s="339"/>
      <c r="CG11" s="75"/>
      <c r="CH11" s="75"/>
      <c r="CI11" s="75">
        <f>'③入力（生命保険）'!Z29</f>
        <v>15</v>
      </c>
      <c r="CJ11" s="339"/>
      <c r="CK11" s="75">
        <f>'③入力（生命保険）'!AJ29</f>
        <v>25</v>
      </c>
      <c r="CL11" s="339"/>
      <c r="CN11" s="75"/>
      <c r="CO11" s="339"/>
      <c r="CP11" s="339"/>
      <c r="CQ11" s="339">
        <f>'③入力（生命保険）'!T29</f>
        <v>9</v>
      </c>
      <c r="CR11" s="339"/>
      <c r="CS11" s="339"/>
      <c r="CT11" s="24"/>
      <c r="CX11" s="23" t="s">
        <v>53</v>
      </c>
      <c r="CY11" s="23"/>
      <c r="CZ11" s="4">
        <f>'④入力（地震・社会・小規模共済等）'!C2</f>
        <v>2</v>
      </c>
      <c r="DA11" s="4"/>
      <c r="DB11" s="4"/>
      <c r="DC11" s="4"/>
      <c r="DD11" s="4"/>
      <c r="DE11" s="4"/>
      <c r="DF11" s="4">
        <f>'④入力（地震・社会・小規模共済等）'!D2</f>
        <v>3</v>
      </c>
      <c r="DG11" s="4"/>
      <c r="DH11" s="4"/>
      <c r="DI11" s="4"/>
      <c r="DJ11" s="4"/>
      <c r="DK11" s="4"/>
      <c r="DM11" s="4">
        <f>'④入力（地震・社会・小規模共済等）'!F2</f>
        <v>5</v>
      </c>
      <c r="DN11" s="4"/>
      <c r="DO11" s="4">
        <f>'④入力（地震・社会・小規模共済等）'!G2</f>
        <v>6</v>
      </c>
      <c r="DP11" s="4"/>
      <c r="DQ11" s="4"/>
      <c r="DR11" s="4"/>
      <c r="DS11" s="4"/>
      <c r="DT11" s="4">
        <f>'④入力（地震・社会・小規模共済等）'!H2</f>
        <v>7</v>
      </c>
      <c r="DV11" s="4">
        <f>'④入力（地震・社会・小規模共済等）'!I2</f>
        <v>8</v>
      </c>
      <c r="DX11" s="4">
        <f>'④入力（地震・社会・小規模共済等）'!J2</f>
        <v>9</v>
      </c>
      <c r="DY11" s="4"/>
      <c r="DZ11" s="4"/>
      <c r="EA11" s="4"/>
      <c r="EB11" s="4"/>
      <c r="EC11" s="4"/>
      <c r="ED11" s="947">
        <f>'④入力（地震・社会・小規模共済等）'!L2</f>
        <v>11</v>
      </c>
      <c r="EE11" s="947"/>
      <c r="EF11" s="4"/>
      <c r="EL11" s="4">
        <f>'④入力（地震・社会・小規模共済等）'!E2</f>
        <v>4</v>
      </c>
      <c r="FF11" s="324"/>
      <c r="FG11" s="324"/>
      <c r="FH11" s="324"/>
      <c r="FI11" s="330"/>
      <c r="FJ11" s="951" t="str">
        <f>IF(FL11="","",FI9)</f>
        <v/>
      </c>
      <c r="FK11" s="951"/>
      <c r="FL11" s="360" t="str">
        <f>'①入力(基礎控除)'!H55</f>
        <v/>
      </c>
      <c r="FM11" s="333">
        <f ca="1">IF(OR(SUM(C46:C50)=0,B4=A16),"",B4)</f>
        <v>1</v>
      </c>
      <c r="FN11" s="950" t="str">
        <f ca="1">IF(OR(SUM(C46:C50)=0,B4=A16),"","／"&amp;IF(MAX(C46:C50)&lt;6,MAX(C46:C50),""))</f>
        <v>／2</v>
      </c>
      <c r="FO11" s="950"/>
      <c r="FP11" s="332"/>
      <c r="FQ11" s="324"/>
      <c r="FR11" s="324"/>
      <c r="FS11" s="324"/>
      <c r="FT11" s="946" t="str">
        <f>'①入力(基礎控除)'!K2</f>
        <v>1234567891234</v>
      </c>
      <c r="FU11" s="946"/>
      <c r="FV11" s="946"/>
      <c r="FW11" s="946"/>
      <c r="FX11" s="946"/>
      <c r="FY11" s="946"/>
    </row>
    <row r="12" spans="1:181" ht="11.25" customHeight="1">
      <c r="A12" s="159">
        <v>2</v>
      </c>
      <c r="B12" s="157" t="s">
        <v>144</v>
      </c>
      <c r="C12" s="158" t="str">
        <f ca="1">IF(MAX(C$46:C$50)&lt;A12,"－","〇")</f>
        <v>〇</v>
      </c>
      <c r="D12" s="27"/>
      <c r="E12" s="175"/>
      <c r="BC12" s="130"/>
      <c r="BH12" s="70"/>
      <c r="BI12" s="338" t="s">
        <v>149</v>
      </c>
      <c r="BJ12" s="339">
        <f>'③入力（生命保険）'!R30</f>
        <v>6</v>
      </c>
      <c r="BK12" s="339"/>
      <c r="BL12" s="339"/>
      <c r="BM12" s="339"/>
      <c r="BN12" s="339"/>
      <c r="BO12" s="339">
        <f>'③入力（生命保険）'!S30</f>
        <v>7</v>
      </c>
      <c r="BP12" s="339"/>
      <c r="BQ12" s="339"/>
      <c r="BR12" s="339"/>
      <c r="BS12" s="339"/>
      <c r="BT12" s="339">
        <f>'③入力（生命保険）'!U30</f>
        <v>9</v>
      </c>
      <c r="BU12" s="339"/>
      <c r="BV12" s="339"/>
      <c r="BW12" s="339"/>
      <c r="BX12" s="339">
        <f>'③入力（生命保険）'!AE30</f>
        <v>2</v>
      </c>
      <c r="BY12" s="339"/>
      <c r="BZ12" s="339"/>
      <c r="CA12" s="339"/>
      <c r="CB12" s="75">
        <f>'③入力（生命保険）'!AF30</f>
        <v>3</v>
      </c>
      <c r="CC12" s="75"/>
      <c r="CD12" s="75">
        <f>'③入力（生命保険）'!AA30</f>
        <v>15</v>
      </c>
      <c r="CE12" s="339"/>
      <c r="CG12" s="75"/>
      <c r="CH12" s="75"/>
      <c r="CI12" s="75">
        <f>'③入力（生命保険）'!AB30</f>
        <v>16</v>
      </c>
      <c r="CJ12" s="339"/>
      <c r="CK12" s="75">
        <f>'③入力（生命保険）'!AJ30</f>
        <v>7</v>
      </c>
      <c r="CL12" s="339"/>
      <c r="CN12" s="75"/>
      <c r="CO12" s="339">
        <f>'③入力（生命保険）'!AH30</f>
        <v>5</v>
      </c>
      <c r="CP12" s="339"/>
      <c r="CQ12" s="339">
        <f>'③入力（生命保険）'!AG30</f>
        <v>4</v>
      </c>
      <c r="CR12" s="339"/>
      <c r="CS12" s="339"/>
      <c r="CT12" s="219"/>
      <c r="CU12" s="222"/>
      <c r="CV12" s="223"/>
      <c r="CW12" s="933">
        <f ca="1">BF5*2-1</f>
        <v>1</v>
      </c>
      <c r="CX12" s="976">
        <f ca="1">LEN(VLOOKUP($CW12,地震入力,CZ$11))</f>
        <v>0</v>
      </c>
      <c r="CY12" s="219"/>
      <c r="CZ12" s="929" t="str">
        <f ca="1">IF(CX12&gt;DF$9,LEFT(VLOOKUP($CW12,地震入力,CZ$11),INT(CX12/2)),"")&amp;IF(ISODD(CX12),"　","")</f>
        <v/>
      </c>
      <c r="DA12" s="929"/>
      <c r="DB12" s="929"/>
      <c r="DC12" s="929"/>
      <c r="DD12" s="929"/>
      <c r="DE12" s="929"/>
      <c r="DF12" s="936" t="str">
        <f ca="1">IF(CX14&gt;DK$9,LEFT(VLOOKUP($CW12,地震入力,DF$11),INT(CX14/2)),"")&amp;IF(ISODD(CX14),"　","")</f>
        <v/>
      </c>
      <c r="DG12" s="936"/>
      <c r="DH12" s="936"/>
      <c r="DI12" s="936"/>
      <c r="DJ12" s="936"/>
      <c r="DK12" s="952">
        <f ca="1">IF(EL12=99,"終身",IF(SUM(EL12)&gt;0,EL12&amp;"年",EL12))</f>
        <v>0</v>
      </c>
      <c r="DL12" s="952"/>
      <c r="DM12" s="929">
        <f ca="1">VLOOKUP($CW12,地震入力,DM$11)</f>
        <v>0</v>
      </c>
      <c r="DN12" s="929"/>
      <c r="DO12" s="929"/>
      <c r="DP12" s="929"/>
      <c r="DQ12" s="929"/>
      <c r="DR12" s="929"/>
      <c r="DS12" s="929"/>
      <c r="DT12" s="929"/>
      <c r="DU12" s="938">
        <f ca="1">VLOOKUP($CW12,地震入力,DV$11)</f>
        <v>0</v>
      </c>
      <c r="DV12" s="938"/>
      <c r="DW12" s="938"/>
      <c r="DY12" s="354"/>
      <c r="DZ12" s="354"/>
      <c r="EA12" s="354"/>
      <c r="EB12" s="354"/>
      <c r="EC12" s="226"/>
      <c r="ED12" s="937">
        <f ca="1">IF($CM$6=$CM$7,VLOOKUP($CW12,地震入力,ED$11),"")</f>
        <v>0</v>
      </c>
      <c r="EE12" s="937"/>
      <c r="EF12" s="937"/>
      <c r="EG12" s="940"/>
      <c r="EH12" s="41"/>
      <c r="EJ12" s="41"/>
      <c r="EL12" s="932">
        <f ca="1">VLOOKUP($CW12,地震入力,EL$11)</f>
        <v>0</v>
      </c>
      <c r="FF12" s="324"/>
      <c r="FG12" s="324"/>
      <c r="FH12" s="324"/>
      <c r="FI12" s="334"/>
      <c r="FJ12" s="335"/>
      <c r="FK12" s="335"/>
      <c r="FL12" s="335"/>
      <c r="FM12" s="335"/>
      <c r="FN12" s="335"/>
      <c r="FO12" s="335"/>
      <c r="FP12" s="336"/>
      <c r="FQ12" s="324"/>
      <c r="FR12" s="324"/>
      <c r="FS12" s="324"/>
      <c r="FT12" s="324"/>
      <c r="FU12" s="324"/>
      <c r="FV12" s="324"/>
      <c r="FW12" s="324"/>
      <c r="FX12" s="324"/>
      <c r="FY12" s="324"/>
    </row>
    <row r="13" spans="1:181" ht="11.25" customHeight="1">
      <c r="A13" s="159">
        <v>3</v>
      </c>
      <c r="B13" s="157" t="s">
        <v>144</v>
      </c>
      <c r="C13" s="158" t="str">
        <f ca="1">IF(MAX(C$46:C$50)&lt;A13,"－","〇")</f>
        <v>－</v>
      </c>
      <c r="D13" s="27"/>
      <c r="E13" s="130"/>
      <c r="BC13" s="130"/>
      <c r="BH13" s="70" t="s">
        <v>150</v>
      </c>
      <c r="BI13" s="339"/>
      <c r="BJ13" s="339"/>
      <c r="BK13" s="339"/>
      <c r="BL13" s="339"/>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8" t="s">
        <v>152</v>
      </c>
      <c r="CT13" s="219"/>
      <c r="CU13" s="227"/>
      <c r="CV13" s="228"/>
      <c r="CW13" s="934"/>
      <c r="CX13" s="977"/>
      <c r="CY13" s="219"/>
      <c r="CZ13" s="929"/>
      <c r="DA13" s="929"/>
      <c r="DB13" s="929"/>
      <c r="DC13" s="929"/>
      <c r="DD13" s="929"/>
      <c r="DE13" s="929"/>
      <c r="DF13" s="936"/>
      <c r="DG13" s="936"/>
      <c r="DH13" s="936"/>
      <c r="DI13" s="936"/>
      <c r="DJ13" s="936"/>
      <c r="DK13" s="952"/>
      <c r="DL13" s="952"/>
      <c r="DM13" s="929"/>
      <c r="DN13" s="929"/>
      <c r="DO13" s="929"/>
      <c r="DP13" s="929"/>
      <c r="DQ13" s="929"/>
      <c r="DR13" s="929"/>
      <c r="DS13" s="929"/>
      <c r="DT13" s="929"/>
      <c r="DU13" s="938"/>
      <c r="DV13" s="938"/>
      <c r="DW13" s="938"/>
      <c r="DX13" s="943">
        <f ca="1">VLOOKUP($CW12,地震入力,DX$11)</f>
        <v>0</v>
      </c>
      <c r="DY13" s="943"/>
      <c r="DZ13" s="943"/>
      <c r="EA13" s="943"/>
      <c r="EB13" s="943"/>
      <c r="EC13" s="226"/>
      <c r="ED13" s="937"/>
      <c r="EE13" s="937"/>
      <c r="EF13" s="937"/>
      <c r="EG13" s="940"/>
      <c r="EH13" s="41"/>
      <c r="EJ13" s="146"/>
      <c r="EL13" s="932"/>
      <c r="FF13" s="324"/>
      <c r="FG13" s="324"/>
      <c r="FH13" s="324"/>
      <c r="FI13" s="324"/>
      <c r="FJ13" s="324"/>
      <c r="FK13" s="324"/>
      <c r="FL13" s="324"/>
      <c r="FM13" s="324"/>
      <c r="FN13" s="324"/>
      <c r="FO13" s="324"/>
      <c r="FP13" s="324"/>
      <c r="FQ13" s="324"/>
      <c r="FR13" s="324"/>
      <c r="FS13" s="324"/>
      <c r="FT13" s="324"/>
      <c r="FU13" s="324"/>
      <c r="FV13" s="324"/>
      <c r="FW13" s="324"/>
      <c r="FX13" s="324"/>
      <c r="FY13" s="324"/>
    </row>
    <row r="14" spans="1:181" ht="11.25" customHeight="1">
      <c r="A14" s="159">
        <v>4</v>
      </c>
      <c r="B14" s="157" t="s">
        <v>144</v>
      </c>
      <c r="C14" s="158" t="str">
        <f ca="1">IF(MAX(C$46:C$50)&lt;A14,"－","〇")</f>
        <v>－</v>
      </c>
      <c r="D14" s="27"/>
      <c r="E14" s="130"/>
      <c r="BC14" s="130"/>
      <c r="BE14" s="2">
        <v>1</v>
      </c>
      <c r="BF14" s="129"/>
      <c r="BG14" s="928">
        <f ca="1">BF5*4-3</f>
        <v>1</v>
      </c>
      <c r="BH14" s="67">
        <f ca="1">LEN(VLOOKUP($BG14,入力一般,BJ$10))</f>
        <v>5</v>
      </c>
      <c r="BJ14" s="929" t="str">
        <f ca="1">IF(BH14&gt;BO$9,LEFT(VLOOKUP($BG14,入力一般,BJ$10),INT(BH14/2)),"")&amp;IF(ISODD(BH14),"　","")</f>
        <v>　</v>
      </c>
      <c r="BK14" s="929"/>
      <c r="BL14" s="929"/>
      <c r="BM14" s="929"/>
      <c r="BN14" s="929"/>
      <c r="BO14" s="931" t="str">
        <f ca="1">IF(BH15&gt;BR$9,LEFT(VLOOKUP($BG14,入力一般,BO$10),INT(BH15/2)),"")&amp;IF(ISODD(BH15),"　","")</f>
        <v>　</v>
      </c>
      <c r="BP14" s="931"/>
      <c r="BQ14" s="931"/>
      <c r="BR14" s="927" t="str">
        <f ca="1">IF(CQ14=99,"終身",IF(SUM(CQ14)&gt;0,CQ14&amp;"年",CQ14))</f>
        <v>終身</v>
      </c>
      <c r="BS14" s="927"/>
      <c r="BT14" s="927" t="str">
        <f ca="1">VLOOKUP($BG14,入力一般,BT$10)</f>
        <v>あああ１</v>
      </c>
      <c r="BU14" s="927"/>
      <c r="BV14" s="927"/>
      <c r="BW14" s="927"/>
      <c r="BX14" s="927" t="str">
        <f ca="1">VLOOKUP($BG14,入力一般,BX$10)</f>
        <v>ああおおお１</v>
      </c>
      <c r="BY14" s="927"/>
      <c r="BZ14" s="927"/>
      <c r="CA14" s="927"/>
      <c r="CB14" s="927" t="str">
        <f ca="1">VLOOKUP($BG14,入力一般,CB$10)</f>
        <v>子</v>
      </c>
      <c r="CC14" s="927"/>
      <c r="CD14" s="944" t="str">
        <f ca="1">IFERROR(VLOOKUP($BG14,入力一般,CD$10),"")</f>
        <v>新</v>
      </c>
      <c r="CE14" s="944"/>
      <c r="CF14" s="942">
        <f ca="1">VLOOKUP($BG14,入力一般,CI$10)</f>
        <v>12345</v>
      </c>
      <c r="CG14" s="942"/>
      <c r="CH14" s="942"/>
      <c r="CI14" s="942"/>
      <c r="CJ14" s="230"/>
      <c r="CK14" s="937" t="str">
        <f ca="1">IF($CM$6=$CM$7,VLOOKUP($BG14,入力一般,CK$10),"")</f>
        <v>生1</v>
      </c>
      <c r="CL14" s="937"/>
      <c r="CM14" s="971"/>
      <c r="CN14" s="229"/>
      <c r="CO14" s="231"/>
      <c r="CP14" s="231"/>
      <c r="CQ14" s="939">
        <f ca="1">VLOOKUP($BG14,入力一般,CQ$10)</f>
        <v>99</v>
      </c>
      <c r="CR14" s="939"/>
      <c r="CS14" s="939"/>
      <c r="CT14" s="231"/>
      <c r="CU14" s="227" t="s">
        <v>159</v>
      </c>
      <c r="CV14" s="228"/>
      <c r="CW14" s="935"/>
      <c r="CX14" s="232">
        <f ca="1">LEN(VLOOKUP($CW12,地震入力,DF$11))</f>
        <v>0</v>
      </c>
      <c r="CY14" s="219"/>
      <c r="CZ14" s="929">
        <f ca="1">IF(CX12&gt;DF$9,RIGHT(VLOOKUP($CW12,地震入力,CZ$11),ROUNDUP(CX12/2,0)),VLOOKUP($CW12,地震入力,CZ$11))</f>
        <v>0</v>
      </c>
      <c r="DA14" s="929"/>
      <c r="DB14" s="929"/>
      <c r="DC14" s="929"/>
      <c r="DD14" s="929"/>
      <c r="DE14" s="929"/>
      <c r="DF14" s="936">
        <f ca="1">IF(CX14&gt;DK$9,RIGHT(VLOOKUP($CW12,地震入力,DF$11),ROUNDUP(CX14/2,0)),VLOOKUP($CW12,地震入力,DF$11))</f>
        <v>0</v>
      </c>
      <c r="DG14" s="936"/>
      <c r="DH14" s="936"/>
      <c r="DI14" s="936"/>
      <c r="DJ14" s="936"/>
      <c r="DK14" s="952"/>
      <c r="DL14" s="952"/>
      <c r="DM14" s="941">
        <f ca="1">VLOOKUP($CW12,地震入力,DO$11)</f>
        <v>0</v>
      </c>
      <c r="DN14" s="941"/>
      <c r="DO14" s="941"/>
      <c r="DP14" s="941"/>
      <c r="DQ14" s="941"/>
      <c r="DR14" s="941"/>
      <c r="DS14" s="941">
        <f ca="1">VLOOKUP($CW12,地震入力,DT$11)</f>
        <v>0</v>
      </c>
      <c r="DT14" s="941"/>
      <c r="DU14" s="938"/>
      <c r="DV14" s="938"/>
      <c r="DW14" s="938"/>
      <c r="DX14" s="943"/>
      <c r="DY14" s="943"/>
      <c r="DZ14" s="943"/>
      <c r="EA14" s="943"/>
      <c r="EB14" s="943"/>
      <c r="EC14" s="226"/>
      <c r="ED14" s="937"/>
      <c r="EE14" s="937"/>
      <c r="EF14" s="937"/>
      <c r="EG14" s="940"/>
      <c r="EH14" s="41"/>
      <c r="EJ14" s="146"/>
      <c r="EL14" s="932"/>
    </row>
    <row r="15" spans="1:181" ht="12" customHeight="1">
      <c r="A15" s="159">
        <v>5</v>
      </c>
      <c r="B15" s="157" t="s">
        <v>144</v>
      </c>
      <c r="C15" s="158" t="str">
        <f ca="1">IF(MAX(C$46:C$50)&lt;A15,"－","〇")</f>
        <v>－</v>
      </c>
      <c r="E15" s="176"/>
      <c r="BC15" s="130"/>
      <c r="BE15" s="2">
        <v>2</v>
      </c>
      <c r="BF15" s="145"/>
      <c r="BG15" s="928"/>
      <c r="BH15" s="68">
        <f ca="1">LEN(VLOOKUP($BG14,入力一般,BO$10))</f>
        <v>5</v>
      </c>
      <c r="BJ15" s="929" t="str">
        <f ca="1">IF(BH14&gt;BO$9,RIGHT(VLOOKUP($BG14,入力一般,BJ$10),ROUNDUP(BH14/2,0)),VLOOKUP($BG14,入力一般,BJ$10))</f>
        <v>あああ保険</v>
      </c>
      <c r="BK15" s="929"/>
      <c r="BL15" s="929"/>
      <c r="BM15" s="929"/>
      <c r="BN15" s="929"/>
      <c r="BO15" s="929" t="str">
        <f ca="1">IF(BH15&gt;BR$9,RIGHT(VLOOKUP($BG14,入力一般,BO$10),ROUNDUP(BH15/2,0)),VLOOKUP($BG14,入力一般,BO$10))</f>
        <v>あああああ</v>
      </c>
      <c r="BP15" s="929"/>
      <c r="BQ15" s="929"/>
      <c r="BR15" s="927"/>
      <c r="BS15" s="927"/>
      <c r="BT15" s="927"/>
      <c r="BU15" s="927"/>
      <c r="BV15" s="927"/>
      <c r="BW15" s="927"/>
      <c r="BX15" s="927"/>
      <c r="BY15" s="927"/>
      <c r="BZ15" s="927"/>
      <c r="CA15" s="927"/>
      <c r="CB15" s="927"/>
      <c r="CC15" s="927"/>
      <c r="CD15" s="944"/>
      <c r="CE15" s="944"/>
      <c r="CF15" s="942"/>
      <c r="CG15" s="942"/>
      <c r="CH15" s="942"/>
      <c r="CI15" s="942"/>
      <c r="CJ15" s="230"/>
      <c r="CK15" s="937"/>
      <c r="CL15" s="937"/>
      <c r="CM15" s="971"/>
      <c r="CN15" s="229"/>
      <c r="CO15" s="231"/>
      <c r="CP15" s="231"/>
      <c r="CQ15" s="939"/>
      <c r="CR15" s="939"/>
      <c r="CS15" s="939"/>
      <c r="CT15" s="231"/>
      <c r="CU15" s="227"/>
      <c r="CV15" s="228"/>
      <c r="CW15" s="977">
        <f ca="1">CW12+1</f>
        <v>2</v>
      </c>
      <c r="CX15" s="976">
        <f ca="1">LEN(VLOOKUP($CW15,地震入力,CZ$11))</f>
        <v>0</v>
      </c>
      <c r="CY15" s="219"/>
      <c r="CZ15" s="929" t="str">
        <f ca="1">IF(CX15&gt;DF$9,LEFT(VLOOKUP($CW15,地震入力,CZ$11),INT(CX15/2)),"")&amp;IF(ISODD(CX15),"　","")</f>
        <v/>
      </c>
      <c r="DA15" s="929"/>
      <c r="DB15" s="929"/>
      <c r="DC15" s="929"/>
      <c r="DD15" s="929"/>
      <c r="DE15" s="929"/>
      <c r="DF15" s="224"/>
      <c r="DG15" s="224"/>
      <c r="DH15" s="224"/>
      <c r="DI15" s="224"/>
      <c r="DJ15" s="224"/>
      <c r="DK15" s="952">
        <f ca="1">IF(EL15=99,"終身",IF(SUM(EL15)&gt;0,EL15&amp;"年",EL15))</f>
        <v>0</v>
      </c>
      <c r="DL15" s="952"/>
      <c r="DM15" s="929">
        <f ca="1">VLOOKUP($CW15,地震入力,DM$11)</f>
        <v>0</v>
      </c>
      <c r="DN15" s="929"/>
      <c r="DO15" s="929"/>
      <c r="DP15" s="929"/>
      <c r="DQ15" s="929"/>
      <c r="DR15" s="929"/>
      <c r="DS15" s="929"/>
      <c r="DT15" s="929"/>
      <c r="DU15" s="938">
        <f ca="1">VLOOKUP($CW15,地震入力,DV$11)</f>
        <v>0</v>
      </c>
      <c r="DV15" s="938"/>
      <c r="DW15" s="938"/>
      <c r="DX15" s="400"/>
      <c r="DY15" s="401"/>
      <c r="DZ15" s="401"/>
      <c r="EA15" s="401"/>
      <c r="EB15" s="401"/>
      <c r="EC15" s="226"/>
      <c r="ED15" s="937">
        <f ca="1">IF($CM$6=$CM$7,VLOOKUP($CW15,地震入力,ED$11),"")</f>
        <v>0</v>
      </c>
      <c r="EE15" s="937"/>
      <c r="EF15" s="937"/>
      <c r="EG15" s="940"/>
      <c r="EH15" s="41"/>
      <c r="EJ15" s="41"/>
      <c r="EL15" s="932">
        <f ca="1">VLOOKUP($CW15,地震入力,EL$11)</f>
        <v>0</v>
      </c>
    </row>
    <row r="16" spans="1:181" ht="11.25" customHeight="1">
      <c r="A16" s="156" t="s">
        <v>146</v>
      </c>
      <c r="B16" s="157"/>
      <c r="C16" s="158" t="str">
        <f ca="1">IF(SUM(B51:C52)=0,"－","〇")</f>
        <v>－</v>
      </c>
      <c r="E16" s="177"/>
      <c r="BC16" s="130"/>
      <c r="BE16" s="2">
        <v>3</v>
      </c>
      <c r="BF16" s="145"/>
      <c r="BG16" s="874">
        <f ca="1">BG14+1</f>
        <v>2</v>
      </c>
      <c r="BH16" s="67">
        <f ca="1">LEN(VLOOKUP($BG16,入力一般,BJ$10))</f>
        <v>5</v>
      </c>
      <c r="BJ16" s="929" t="str">
        <f ca="1">IF(BH16&gt;BO$9,LEFT(VLOOKUP($BG16,入力一般,BJ$10),INT(BH16/2)),"")&amp;IF(ISODD(BH16),"　","")</f>
        <v>　</v>
      </c>
      <c r="BK16" s="929"/>
      <c r="BL16" s="929"/>
      <c r="BM16" s="929"/>
      <c r="BN16" s="929"/>
      <c r="BO16" s="931" t="str">
        <f ca="1">IF(BH17&gt;BR$9,LEFT(VLOOKUP($BG16,入力一般,BO$10),INT(BH17/2)),"")&amp;IF(ISODD(BH17),"　","")</f>
        <v/>
      </c>
      <c r="BP16" s="931"/>
      <c r="BQ16" s="931"/>
      <c r="BR16" s="927" t="str">
        <f ca="1">IF(CQ16=99,"終身",IF(SUM(CQ16)&gt;0,CQ16&amp;"年",CQ16))</f>
        <v>1年</v>
      </c>
      <c r="BS16" s="927"/>
      <c r="BT16" s="927" t="str">
        <f ca="1">VLOOKUP($BG16,入力一般,BT$10)</f>
        <v>あああ２</v>
      </c>
      <c r="BU16" s="927"/>
      <c r="BV16" s="927"/>
      <c r="BW16" s="927"/>
      <c r="BX16" s="927" t="str">
        <f ca="1">VLOOKUP($BG16,入力一般,BX$10)</f>
        <v>あああ１</v>
      </c>
      <c r="BY16" s="927"/>
      <c r="BZ16" s="927"/>
      <c r="CA16" s="927"/>
      <c r="CB16" s="927" t="str">
        <f ca="1">VLOOKUP($BG16,入力一般,CB$10)</f>
        <v>本人</v>
      </c>
      <c r="CC16" s="927"/>
      <c r="CD16" s="944" t="str">
        <f ca="1">IFERROR(VLOOKUP($BG16,入力一般,CD$10),"")</f>
        <v>旧</v>
      </c>
      <c r="CE16" s="944"/>
      <c r="CF16" s="942">
        <f ca="1">VLOOKUP($BG16,入力一般,CI$10)</f>
        <v>80000</v>
      </c>
      <c r="CG16" s="942"/>
      <c r="CH16" s="942"/>
      <c r="CI16" s="942"/>
      <c r="CJ16" s="230"/>
      <c r="CK16" s="937" t="str">
        <f ca="1">IF($CM$6=$CM$7,VLOOKUP($BG16,入力一般,CK$10),"")</f>
        <v>生2</v>
      </c>
      <c r="CL16" s="937"/>
      <c r="CM16" s="971"/>
      <c r="CN16" s="229"/>
      <c r="CO16" s="219"/>
      <c r="CP16" s="231"/>
      <c r="CQ16" s="939">
        <f ca="1">VLOOKUP($BG16,入力一般,CQ$10)</f>
        <v>1</v>
      </c>
      <c r="CR16" s="939"/>
      <c r="CS16" s="939"/>
      <c r="CT16" s="231"/>
      <c r="CU16" s="227"/>
      <c r="CV16" s="228"/>
      <c r="CW16" s="977"/>
      <c r="CX16" s="977"/>
      <c r="CY16" s="219"/>
      <c r="CZ16" s="929"/>
      <c r="DA16" s="929"/>
      <c r="DB16" s="929"/>
      <c r="DC16" s="929"/>
      <c r="DD16" s="929"/>
      <c r="DE16" s="929"/>
      <c r="DF16" s="936" t="str">
        <f ca="1">IF(CX17&gt;DK$9,LEFT(VLOOKUP($CW15,地震入力,DF$11),INT(CX17/2)),"")&amp;IF(ISODD(CX17),"　","")</f>
        <v/>
      </c>
      <c r="DG16" s="936"/>
      <c r="DH16" s="936"/>
      <c r="DI16" s="936"/>
      <c r="DJ16" s="936"/>
      <c r="DK16" s="952"/>
      <c r="DL16" s="952"/>
      <c r="DM16" s="929"/>
      <c r="DN16" s="929"/>
      <c r="DO16" s="929"/>
      <c r="DP16" s="929"/>
      <c r="DQ16" s="929"/>
      <c r="DR16" s="929"/>
      <c r="DS16" s="929"/>
      <c r="DT16" s="929"/>
      <c r="DU16" s="938"/>
      <c r="DV16" s="938"/>
      <c r="DW16" s="938"/>
      <c r="DX16" s="943">
        <f ca="1">VLOOKUP($CW15,地震入力,DX$11)</f>
        <v>0</v>
      </c>
      <c r="DY16" s="943"/>
      <c r="DZ16" s="943"/>
      <c r="EA16" s="943"/>
      <c r="EB16" s="943"/>
      <c r="EC16" s="226"/>
      <c r="ED16" s="937"/>
      <c r="EE16" s="937"/>
      <c r="EF16" s="937"/>
      <c r="EG16" s="940"/>
      <c r="EH16" s="41"/>
      <c r="EJ16" s="76"/>
      <c r="EL16" s="932"/>
    </row>
    <row r="17" spans="4:142" ht="12" customHeight="1">
      <c r="D17" s="23"/>
      <c r="E17" s="177"/>
      <c r="BC17" s="130"/>
      <c r="BE17" s="2">
        <v>4</v>
      </c>
      <c r="BF17" s="145" t="s">
        <v>162</v>
      </c>
      <c r="BG17" s="874"/>
      <c r="BH17" s="68">
        <f ca="1">LEN(VLOOKUP($BG16,入力一般,BO$10))</f>
        <v>4</v>
      </c>
      <c r="BJ17" s="929" t="str">
        <f ca="1">IF(BH16&gt;BO$9,RIGHT(VLOOKUP($BG16,入力一般,BJ$10),ROUNDUP(BH16/2,0)),VLOOKUP($BG16,入力一般,BJ$10))</f>
        <v>あああ保険</v>
      </c>
      <c r="BK17" s="929"/>
      <c r="BL17" s="929"/>
      <c r="BM17" s="929"/>
      <c r="BN17" s="929"/>
      <c r="BO17" s="929" t="str">
        <f ca="1">IF(BH17&gt;BR$9,RIGHT(VLOOKUP($BG16,入力一般,BO$10),ROUNDUP(BH17/2,0)),VLOOKUP($BG16,入力一般,BO$10))</f>
        <v>いいいい</v>
      </c>
      <c r="BP17" s="929"/>
      <c r="BQ17" s="929"/>
      <c r="BR17" s="927"/>
      <c r="BS17" s="927"/>
      <c r="BT17" s="927"/>
      <c r="BU17" s="927"/>
      <c r="BV17" s="927"/>
      <c r="BW17" s="927"/>
      <c r="BX17" s="927"/>
      <c r="BY17" s="927"/>
      <c r="BZ17" s="927"/>
      <c r="CA17" s="927"/>
      <c r="CB17" s="927"/>
      <c r="CC17" s="927"/>
      <c r="CD17" s="944"/>
      <c r="CE17" s="944"/>
      <c r="CF17" s="942"/>
      <c r="CG17" s="942"/>
      <c r="CH17" s="942"/>
      <c r="CI17" s="942"/>
      <c r="CJ17" s="230"/>
      <c r="CK17" s="937"/>
      <c r="CL17" s="937"/>
      <c r="CM17" s="971"/>
      <c r="CN17" s="229"/>
      <c r="CO17" s="231"/>
      <c r="CP17" s="231"/>
      <c r="CQ17" s="939"/>
      <c r="CR17" s="939"/>
      <c r="CS17" s="939"/>
      <c r="CT17" s="231"/>
      <c r="CU17" s="233"/>
      <c r="CV17" s="234"/>
      <c r="CW17" s="978"/>
      <c r="CX17" s="232">
        <f ca="1">LEN(VLOOKUP($CW15,地震入力,DF$11))</f>
        <v>0</v>
      </c>
      <c r="CY17" s="219"/>
      <c r="CZ17" s="929">
        <f ca="1">IF(CX15&gt;DF$9,RIGHT(VLOOKUP($CW15,地震入力,CZ$11),ROUNDUP(CX15/2,0)),VLOOKUP($CW15,地震入力,CZ$11))</f>
        <v>0</v>
      </c>
      <c r="DA17" s="929"/>
      <c r="DB17" s="929"/>
      <c r="DC17" s="929"/>
      <c r="DD17" s="929"/>
      <c r="DE17" s="929"/>
      <c r="DF17" s="936">
        <f ca="1">IF(CX17&gt;DK$9,RIGHT(VLOOKUP($CW15,地震入力,DF$11),ROUNDUP(CX17/2,0)),VLOOKUP($CW15,地震入力,DF$11))</f>
        <v>0</v>
      </c>
      <c r="DG17" s="936"/>
      <c r="DH17" s="936"/>
      <c r="DI17" s="936"/>
      <c r="DJ17" s="936"/>
      <c r="DK17" s="952"/>
      <c r="DL17" s="952"/>
      <c r="DM17" s="941">
        <f ca="1">VLOOKUP($CW15,地震入力,DO$11)</f>
        <v>0</v>
      </c>
      <c r="DN17" s="941"/>
      <c r="DO17" s="941"/>
      <c r="DP17" s="941"/>
      <c r="DQ17" s="941"/>
      <c r="DR17" s="941"/>
      <c r="DS17" s="941">
        <f ca="1">VLOOKUP($CW15,地震入力,DT$11)</f>
        <v>0</v>
      </c>
      <c r="DT17" s="941"/>
      <c r="DU17" s="938"/>
      <c r="DV17" s="938"/>
      <c r="DW17" s="938"/>
      <c r="DX17" s="943"/>
      <c r="DY17" s="943"/>
      <c r="DZ17" s="943"/>
      <c r="EA17" s="943"/>
      <c r="EB17" s="943"/>
      <c r="EC17" s="226"/>
      <c r="ED17" s="937"/>
      <c r="EE17" s="937"/>
      <c r="EF17" s="937"/>
      <c r="EG17" s="940"/>
      <c r="EH17" s="41"/>
      <c r="EJ17" s="76"/>
      <c r="EL17" s="932"/>
    </row>
    <row r="18" spans="4:142" ht="11.25" customHeight="1">
      <c r="D18" s="173"/>
      <c r="E18" s="177"/>
      <c r="BC18" s="130"/>
      <c r="BE18" s="2">
        <v>5</v>
      </c>
      <c r="BF18" s="145"/>
      <c r="BG18" s="874">
        <f t="shared" ref="BG18" ca="1" si="1">BG16+1</f>
        <v>3</v>
      </c>
      <c r="BH18" s="67">
        <f ca="1">LEN(VLOOKUP($BG18,入力一般,BJ$10))</f>
        <v>10</v>
      </c>
      <c r="BJ18" s="929" t="str">
        <f ca="1">IF(BH18&gt;BO$9,LEFT(VLOOKUP($BG18,入力一般,BJ$10),INT(BH18/2)),"")&amp;IF(ISODD(BH18),"　","")</f>
        <v>おおおおお</v>
      </c>
      <c r="BK18" s="929"/>
      <c r="BL18" s="929"/>
      <c r="BM18" s="929"/>
      <c r="BN18" s="929"/>
      <c r="BO18" s="931" t="str">
        <f ca="1">IF(BH19&gt;BR$9,LEFT(VLOOKUP($BG18,入力一般,BO$10),INT(BH19/2)),"")&amp;IF(ISODD(BH19),"　","")</f>
        <v>おおおお　</v>
      </c>
      <c r="BP18" s="931"/>
      <c r="BQ18" s="931"/>
      <c r="BR18" s="927" t="str">
        <f ca="1">IF(CQ18=99,"終身",IF(SUM(CQ18)&gt;0,CQ18&amp;"年",CQ18))</f>
        <v>2年</v>
      </c>
      <c r="BS18" s="927"/>
      <c r="BT18" s="927" t="str">
        <f ca="1">VLOOKUP($BG18,入力一般,BT$10)</f>
        <v>あああ３</v>
      </c>
      <c r="BU18" s="927"/>
      <c r="BV18" s="927"/>
      <c r="BW18" s="927"/>
      <c r="BX18" s="927" t="str">
        <f ca="1">VLOOKUP($BG18,入力一般,BX$10)</f>
        <v>おおおお</v>
      </c>
      <c r="BY18" s="927"/>
      <c r="BZ18" s="927"/>
      <c r="CA18" s="927"/>
      <c r="CB18" s="927" t="str">
        <f ca="1">VLOOKUP($BG18,入力一般,CB$10)</f>
        <v>母</v>
      </c>
      <c r="CC18" s="927"/>
      <c r="CD18" s="944" t="str">
        <f ca="1">IFERROR(VLOOKUP($BG18,入力一般,CD$10),"")</f>
        <v>旧</v>
      </c>
      <c r="CE18" s="944"/>
      <c r="CF18" s="942">
        <f ca="1">VLOOKUP($BG18,入力一般,CI$10)</f>
        <v>12345</v>
      </c>
      <c r="CG18" s="942"/>
      <c r="CH18" s="942"/>
      <c r="CI18" s="942"/>
      <c r="CJ18" s="230"/>
      <c r="CK18" s="937" t="str">
        <f ca="1">IF($CM$6=$CM$7,VLOOKUP($BG18,入力一般,CK$10),"")</f>
        <v>生3</v>
      </c>
      <c r="CL18" s="937"/>
      <c r="CM18" s="971"/>
      <c r="CN18" s="229"/>
      <c r="CO18" s="231"/>
      <c r="CP18" s="231"/>
      <c r="CQ18" s="939">
        <f ca="1">VLOOKUP($BG18,入力一般,CQ$10)</f>
        <v>2</v>
      </c>
      <c r="CR18" s="939"/>
      <c r="CS18" s="939"/>
      <c r="CT18" s="231"/>
      <c r="CU18" s="219"/>
      <c r="CV18" s="219"/>
      <c r="CW18" s="219"/>
      <c r="CX18" s="219"/>
      <c r="CY18" s="219"/>
      <c r="CZ18" s="235"/>
      <c r="DA18" s="235"/>
      <c r="DB18" s="235"/>
      <c r="DC18" s="235"/>
      <c r="DD18" s="235"/>
      <c r="DE18" s="235"/>
      <c r="DF18" s="235"/>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930">
        <f ca="1">IF(BF5=1,'④入力（地震・社会・小規模共済等）'!T37,"")</f>
        <v>0</v>
      </c>
      <c r="EC18" s="930"/>
      <c r="ED18" s="930"/>
      <c r="EE18" s="930"/>
      <c r="EF18" s="235"/>
      <c r="EG18" s="144"/>
    </row>
    <row r="19" spans="4:142" ht="11.25" customHeight="1">
      <c r="D19" s="173"/>
      <c r="E19" s="177"/>
      <c r="BC19" s="130"/>
      <c r="BE19" s="2">
        <v>6</v>
      </c>
      <c r="BF19" s="145"/>
      <c r="BG19" s="874"/>
      <c r="BH19" s="68">
        <f ca="1">LEN(VLOOKUP($BG18,入力一般,BO$10))</f>
        <v>9</v>
      </c>
      <c r="BJ19" s="929" t="str">
        <f ca="1">IF(BH18&gt;BO$9,RIGHT(VLOOKUP($BG18,入力一般,BJ$10),ROUNDUP(BH18/2,0)),VLOOKUP($BG18,入力一般,BJ$10))</f>
        <v>おおお保険</v>
      </c>
      <c r="BK19" s="929"/>
      <c r="BL19" s="929"/>
      <c r="BM19" s="929"/>
      <c r="BN19" s="929"/>
      <c r="BO19" s="929" t="str">
        <f ca="1">IF(BH19&gt;BR$9,RIGHT(VLOOKUP($BG18,入力一般,BO$10),ROUNDUP(BH19/2,0)),VLOOKUP($BG18,入力一般,BO$10))</f>
        <v>おおおおお</v>
      </c>
      <c r="BP19" s="929"/>
      <c r="BQ19" s="929"/>
      <c r="BR19" s="927"/>
      <c r="BS19" s="927"/>
      <c r="BT19" s="927"/>
      <c r="BU19" s="927"/>
      <c r="BV19" s="927"/>
      <c r="BW19" s="927"/>
      <c r="BX19" s="927"/>
      <c r="BY19" s="927"/>
      <c r="BZ19" s="927"/>
      <c r="CA19" s="927"/>
      <c r="CB19" s="927"/>
      <c r="CC19" s="927"/>
      <c r="CD19" s="944"/>
      <c r="CE19" s="944"/>
      <c r="CF19" s="942"/>
      <c r="CG19" s="942"/>
      <c r="CH19" s="942"/>
      <c r="CI19" s="942"/>
      <c r="CJ19" s="230"/>
      <c r="CK19" s="937"/>
      <c r="CL19" s="937"/>
      <c r="CM19" s="971"/>
      <c r="CN19" s="229"/>
      <c r="CO19" s="231"/>
      <c r="CP19" s="231"/>
      <c r="CQ19" s="939"/>
      <c r="CR19" s="939"/>
      <c r="CS19" s="939"/>
      <c r="CT19" s="231"/>
      <c r="CU19" s="219"/>
      <c r="CV19" s="219"/>
      <c r="CW19" s="219"/>
      <c r="CX19" s="219"/>
      <c r="CY19" s="219"/>
      <c r="CZ19" s="235"/>
      <c r="DA19" s="235"/>
      <c r="DB19" s="235"/>
      <c r="DC19" s="235"/>
      <c r="DD19" s="235"/>
      <c r="DE19" s="235"/>
      <c r="DF19" s="235"/>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930"/>
      <c r="EC19" s="930"/>
      <c r="ED19" s="930"/>
      <c r="EE19" s="930"/>
      <c r="EF19" s="235"/>
      <c r="EG19" s="144"/>
    </row>
    <row r="20" spans="4:142" ht="11.25" customHeight="1">
      <c r="D20" s="173"/>
      <c r="E20" s="177"/>
      <c r="BC20" s="130"/>
      <c r="BE20" s="2">
        <v>7</v>
      </c>
      <c r="BF20" s="145"/>
      <c r="BG20" s="874">
        <f t="shared" ref="BG20" ca="1" si="2">BG18+1</f>
        <v>4</v>
      </c>
      <c r="BH20" s="67">
        <f ca="1">LEN(VLOOKUP($BG20,入力一般,BJ$10))</f>
        <v>8</v>
      </c>
      <c r="BJ20" s="929" t="str">
        <f ca="1">IF(BH20&gt;BO$9,LEFT(VLOOKUP($BG20,入力一般,BJ$10),INT(BH20/2)),"")&amp;IF(ISODD(BH20),"　","")</f>
        <v/>
      </c>
      <c r="BK20" s="929"/>
      <c r="BL20" s="929"/>
      <c r="BM20" s="929"/>
      <c r="BN20" s="929"/>
      <c r="BO20" s="931" t="str">
        <f ca="1">IF(BH21&gt;BR$9,LEFT(VLOOKUP($BG20,入力一般,BO$10),INT(BH21/2)),"")&amp;IF(ISODD(BH21),"　","")</f>
        <v/>
      </c>
      <c r="BP20" s="931"/>
      <c r="BQ20" s="931"/>
      <c r="BR20" s="927" t="str">
        <f ca="1">IF(CQ20=99,"終身",IF(SUM(CQ20)&gt;0,CQ20&amp;"年",CQ20))</f>
        <v>8年</v>
      </c>
      <c r="BS20" s="927"/>
      <c r="BT20" s="927" t="str">
        <f ca="1">VLOOKUP($BG20,入力一般,BT$10)</f>
        <v>ううう６</v>
      </c>
      <c r="BU20" s="927"/>
      <c r="BV20" s="927"/>
      <c r="BW20" s="927"/>
      <c r="BX20" s="927" t="str">
        <f ca="1">VLOOKUP($BG20,入力一般,BX$10)</f>
        <v>ううう８</v>
      </c>
      <c r="BY20" s="927"/>
      <c r="BZ20" s="927"/>
      <c r="CA20" s="927"/>
      <c r="CB20" s="927" t="str">
        <f ca="1">VLOOKUP($BG20,入力一般,CB$10)</f>
        <v>父</v>
      </c>
      <c r="CC20" s="927"/>
      <c r="CD20" s="944" t="str">
        <f ca="1">IFERROR(VLOOKUP($BG20,入力一般,CD$10),"")</f>
        <v>新</v>
      </c>
      <c r="CE20" s="944"/>
      <c r="CF20" s="942">
        <f ca="1">VLOOKUP($BG20,入力一般,CI$10)</f>
        <v>45678</v>
      </c>
      <c r="CG20" s="942"/>
      <c r="CH20" s="942"/>
      <c r="CI20" s="942"/>
      <c r="CJ20" s="230"/>
      <c r="CK20" s="937" t="str">
        <f ca="1">IF($CM$6=$CM$7,VLOOKUP($BG20,入力一般,CK$10),"")</f>
        <v>生4</v>
      </c>
      <c r="CL20" s="937"/>
      <c r="CM20" s="971"/>
      <c r="CN20" s="229"/>
      <c r="CO20" s="231"/>
      <c r="CP20" s="231"/>
      <c r="CQ20" s="939">
        <f ca="1">VLOOKUP($BG20,入力一般,CQ$10)</f>
        <v>8</v>
      </c>
      <c r="CR20" s="939"/>
      <c r="CS20" s="939"/>
      <c r="CT20" s="231"/>
      <c r="CU20" s="219"/>
      <c r="CV20" s="219"/>
      <c r="CW20" s="219"/>
      <c r="CX20" s="219"/>
      <c r="CY20" s="219"/>
      <c r="CZ20" s="235"/>
      <c r="DA20" s="235"/>
      <c r="DB20" s="235"/>
      <c r="DC20" s="235"/>
      <c r="DD20" s="235"/>
      <c r="DE20" s="235"/>
      <c r="DF20" s="235"/>
      <c r="DG20" s="236"/>
      <c r="DH20" s="236"/>
      <c r="DI20" s="238"/>
      <c r="DJ20" s="238"/>
      <c r="DK20" s="238"/>
      <c r="DL20" s="238"/>
      <c r="DM20" s="238"/>
      <c r="DN20" s="238"/>
      <c r="DO20" s="238"/>
      <c r="DP20" s="238"/>
      <c r="DQ20" s="238"/>
      <c r="DR20" s="238"/>
      <c r="DS20" s="238"/>
      <c r="DT20" s="238"/>
      <c r="DU20" s="238"/>
      <c r="DV20" s="238"/>
      <c r="DW20" s="238"/>
      <c r="DX20" s="238"/>
      <c r="DY20" s="238"/>
      <c r="DZ20" s="238"/>
      <c r="EA20" s="236"/>
      <c r="EB20" s="930">
        <f ca="1">IF(BF5=1,'④入力（地震・社会・小規模共済等）'!T38,"")</f>
        <v>0</v>
      </c>
      <c r="EC20" s="930"/>
      <c r="ED20" s="930"/>
      <c r="EE20" s="930"/>
      <c r="EF20" s="235"/>
      <c r="EG20" s="144"/>
    </row>
    <row r="21" spans="4:142" ht="11.25" customHeight="1">
      <c r="D21" s="173"/>
      <c r="E21" s="178"/>
      <c r="BC21" s="130"/>
      <c r="BE21" s="2">
        <v>8</v>
      </c>
      <c r="BF21" s="128"/>
      <c r="BG21" s="874"/>
      <c r="BH21" s="68">
        <f ca="1">LEN(VLOOKUP($BG20,入力一般,BO$10))</f>
        <v>4</v>
      </c>
      <c r="BJ21" s="929" t="str">
        <f ca="1">IF(BH20&gt;BO$9,RIGHT(VLOOKUP($BG20,入力一般,BJ$10),ROUNDUP(BH20/2,0)),VLOOKUP($BG20,入力一般,BJ$10))</f>
        <v>うううううう保険</v>
      </c>
      <c r="BK21" s="929"/>
      <c r="BL21" s="929"/>
      <c r="BM21" s="929"/>
      <c r="BN21" s="929"/>
      <c r="BO21" s="929" t="str">
        <f ca="1">IF(BH21&gt;BR$9,RIGHT(VLOOKUP($BG20,入力一般,BO$10),ROUNDUP(BH21/2,0)),VLOOKUP($BG20,入力一般,BO$10))</f>
        <v>うううう</v>
      </c>
      <c r="BP21" s="929"/>
      <c r="BQ21" s="929"/>
      <c r="BR21" s="927"/>
      <c r="BS21" s="927"/>
      <c r="BT21" s="927"/>
      <c r="BU21" s="927"/>
      <c r="BV21" s="927"/>
      <c r="BW21" s="927"/>
      <c r="BX21" s="927"/>
      <c r="BY21" s="927"/>
      <c r="BZ21" s="927"/>
      <c r="CA21" s="927"/>
      <c r="CB21" s="927"/>
      <c r="CC21" s="927"/>
      <c r="CD21" s="944"/>
      <c r="CE21" s="944"/>
      <c r="CF21" s="942"/>
      <c r="CG21" s="942"/>
      <c r="CH21" s="942"/>
      <c r="CI21" s="942"/>
      <c r="CJ21" s="230"/>
      <c r="CK21" s="937"/>
      <c r="CL21" s="937"/>
      <c r="CM21" s="971"/>
      <c r="CN21" s="229"/>
      <c r="CO21" s="231"/>
      <c r="CP21" s="231"/>
      <c r="CQ21" s="939"/>
      <c r="CR21" s="939"/>
      <c r="CS21" s="939"/>
      <c r="CT21" s="231"/>
      <c r="CU21" s="219"/>
      <c r="CV21" s="219"/>
      <c r="CW21" s="219"/>
      <c r="CX21" s="219"/>
      <c r="CY21" s="219"/>
      <c r="CZ21" s="235"/>
      <c r="DA21" s="235"/>
      <c r="DB21" s="235"/>
      <c r="DC21" s="235"/>
      <c r="DD21" s="235"/>
      <c r="DE21" s="235"/>
      <c r="DF21" s="239"/>
      <c r="DG21" s="236"/>
      <c r="DH21" s="236"/>
      <c r="DI21" s="236"/>
      <c r="DJ21" s="236"/>
      <c r="DK21" s="236"/>
      <c r="DL21" s="236"/>
      <c r="DM21" s="236"/>
      <c r="DN21" s="240"/>
      <c r="DO21" s="240"/>
      <c r="DP21" s="240"/>
      <c r="DQ21" s="240"/>
      <c r="DR21" s="240"/>
      <c r="DS21" s="240"/>
      <c r="DT21" s="240"/>
      <c r="DU21" s="240"/>
      <c r="DV21" s="240"/>
      <c r="DW21" s="238"/>
      <c r="DX21" s="238"/>
      <c r="DY21" s="238"/>
      <c r="DZ21" s="238"/>
      <c r="EA21" s="236"/>
      <c r="EB21" s="930"/>
      <c r="EC21" s="930"/>
      <c r="ED21" s="930"/>
      <c r="EE21" s="930"/>
      <c r="EF21" s="235"/>
      <c r="EG21" s="144"/>
    </row>
    <row r="22" spans="4:142" ht="11.25" customHeight="1">
      <c r="D22" s="173"/>
      <c r="E22" s="178"/>
      <c r="BC22" s="130"/>
      <c r="BE22" s="2">
        <v>9</v>
      </c>
      <c r="BJ22" s="241"/>
      <c r="BK22" s="241"/>
      <c r="BL22" s="241"/>
      <c r="BM22" s="930">
        <f ca="1">IF(BF5=1,'③入力（生命保険）'!AQ11,"")</f>
        <v>58024</v>
      </c>
      <c r="BN22" s="930"/>
      <c r="BO22" s="930"/>
      <c r="BP22" s="930"/>
      <c r="BQ22" s="416"/>
      <c r="BR22" s="242"/>
      <c r="BS22" s="242"/>
      <c r="BT22" s="242"/>
      <c r="BU22" s="237"/>
      <c r="BV22" s="237"/>
      <c r="BW22" s="242"/>
      <c r="BX22" s="237"/>
      <c r="BY22" s="930">
        <f ca="1">IF(BF5=1,'③入力（生命保険）'!AT11,"")</f>
        <v>34506</v>
      </c>
      <c r="BZ22" s="930"/>
      <c r="CA22" s="930"/>
      <c r="CB22" s="930"/>
      <c r="CC22" s="237"/>
      <c r="CD22" s="237"/>
      <c r="CE22" s="237"/>
      <c r="CF22" s="237"/>
      <c r="CG22" s="237"/>
      <c r="CH22" s="930">
        <f ca="1">IF(BF5=1,'③入力（生命保険）'!AW11,"")</f>
        <v>40000</v>
      </c>
      <c r="CI22" s="930"/>
      <c r="CJ22" s="930"/>
      <c r="CK22" s="930"/>
      <c r="CL22" s="230"/>
      <c r="CM22" s="243"/>
      <c r="CN22" s="244"/>
      <c r="CO22" s="219"/>
      <c r="CP22" s="219"/>
      <c r="CQ22" s="219"/>
      <c r="CR22" s="219"/>
      <c r="CS22" s="219"/>
      <c r="CT22" s="219"/>
      <c r="CU22" s="219"/>
      <c r="CV22" s="219"/>
      <c r="CW22" s="219"/>
      <c r="CX22" s="219"/>
      <c r="CY22" s="219"/>
      <c r="CZ22" s="235"/>
      <c r="DA22" s="235"/>
      <c r="DB22" s="235"/>
      <c r="DC22" s="235"/>
      <c r="DD22" s="235"/>
      <c r="DE22" s="235"/>
      <c r="DF22" s="239"/>
      <c r="DG22" s="236"/>
      <c r="DH22" s="236"/>
      <c r="DI22" s="236"/>
      <c r="DJ22" s="236"/>
      <c r="DK22" s="236"/>
      <c r="DL22" s="236"/>
      <c r="DM22" s="236"/>
      <c r="DN22" s="242"/>
      <c r="DO22" s="242"/>
      <c r="DP22" s="242"/>
      <c r="DQ22" s="242"/>
      <c r="DR22" s="242"/>
      <c r="DS22" s="242"/>
      <c r="DT22" s="242"/>
      <c r="DU22" s="242"/>
      <c r="DV22" s="242"/>
      <c r="DW22" s="245"/>
      <c r="DX22" s="245"/>
      <c r="DY22" s="245"/>
      <c r="DZ22" s="236"/>
      <c r="EA22" s="236"/>
      <c r="EB22" s="246"/>
      <c r="EC22" s="246"/>
      <c r="ED22" s="246"/>
      <c r="EE22" s="236"/>
      <c r="EF22" s="235"/>
    </row>
    <row r="23" spans="4:142" ht="11.25" customHeight="1">
      <c r="D23" s="174"/>
      <c r="E23" s="130"/>
      <c r="BC23" s="130"/>
      <c r="BE23" s="2">
        <v>10</v>
      </c>
      <c r="BJ23" s="241"/>
      <c r="BK23" s="241"/>
      <c r="BL23" s="241"/>
      <c r="BM23" s="930"/>
      <c r="BN23" s="930"/>
      <c r="BO23" s="930"/>
      <c r="BP23" s="930"/>
      <c r="BQ23" s="416"/>
      <c r="BR23" s="242"/>
      <c r="BS23" s="242"/>
      <c r="BT23" s="242"/>
      <c r="BU23" s="237"/>
      <c r="BV23" s="237"/>
      <c r="BW23" s="242"/>
      <c r="BX23" s="237"/>
      <c r="BY23" s="930"/>
      <c r="BZ23" s="930"/>
      <c r="CA23" s="930"/>
      <c r="CB23" s="930"/>
      <c r="CC23" s="237"/>
      <c r="CD23" s="237"/>
      <c r="CE23" s="237"/>
      <c r="CF23" s="237"/>
      <c r="CG23" s="237"/>
      <c r="CH23" s="930"/>
      <c r="CI23" s="930"/>
      <c r="CJ23" s="930"/>
      <c r="CK23" s="930"/>
      <c r="CL23" s="230"/>
      <c r="CM23" s="243"/>
      <c r="CN23" s="244"/>
      <c r="CO23" s="219"/>
      <c r="CP23" s="219"/>
      <c r="CQ23" s="219"/>
      <c r="CR23" s="219"/>
      <c r="CS23" s="219"/>
      <c r="CT23" s="219"/>
      <c r="CU23" s="219"/>
      <c r="CV23" s="219"/>
      <c r="CW23" s="219"/>
      <c r="CX23" s="219"/>
      <c r="CY23" s="219"/>
      <c r="CZ23" s="235"/>
      <c r="DA23" s="235"/>
      <c r="DB23" s="235"/>
      <c r="DC23" s="235"/>
      <c r="DD23" s="235"/>
      <c r="DE23" s="235"/>
      <c r="DF23" s="239"/>
      <c r="DG23" s="999">
        <f ca="1">IF(BF5=1,'④入力（地震・社会・小規模共済等）'!Q40,"")</f>
        <v>0</v>
      </c>
      <c r="DH23" s="999"/>
      <c r="DI23" s="999"/>
      <c r="DJ23" s="999"/>
      <c r="DK23" s="999"/>
      <c r="DL23" s="999"/>
      <c r="DM23" s="236"/>
      <c r="DN23" s="236"/>
      <c r="DO23" s="242"/>
      <c r="DP23" s="242"/>
      <c r="DQ23" s="242"/>
      <c r="DR23" s="242"/>
      <c r="DS23" s="242"/>
      <c r="DT23" s="242"/>
      <c r="DU23" s="242"/>
      <c r="DV23" s="242"/>
      <c r="DW23" s="245"/>
      <c r="DX23" s="245"/>
      <c r="DY23" s="245"/>
      <c r="DZ23" s="236"/>
      <c r="EA23" s="1002">
        <f ca="1">IF(BF5=1,'④入力（地震・社会・小規模共済等）'!T40,"")</f>
        <v>0</v>
      </c>
      <c r="EB23" s="1002"/>
      <c r="EC23" s="1002"/>
      <c r="ED23" s="1002"/>
      <c r="EE23" s="1002"/>
      <c r="EF23" s="235"/>
    </row>
    <row r="24" spans="4:142" ht="11.25" customHeight="1">
      <c r="D24" s="174"/>
      <c r="E24" s="130"/>
      <c r="BC24" s="130"/>
      <c r="BE24" s="2">
        <v>11</v>
      </c>
      <c r="BJ24" s="247"/>
      <c r="BK24" s="247"/>
      <c r="BL24" s="247"/>
      <c r="BM24" s="930">
        <f ca="1">IF(BF5=1,'③入力（生命保険）'!AQ12,"")</f>
        <v>92347</v>
      </c>
      <c r="BN24" s="930"/>
      <c r="BO24" s="930"/>
      <c r="BP24" s="930"/>
      <c r="BQ24" s="416"/>
      <c r="BR24" s="242"/>
      <c r="BS24" s="242"/>
      <c r="BT24" s="242"/>
      <c r="BU24" s="237"/>
      <c r="BV24" s="237"/>
      <c r="BW24" s="242"/>
      <c r="BX24" s="237"/>
      <c r="BY24" s="930">
        <f ca="1">IF(BF5=1,'③入力（生命保険）'!AT12,"")</f>
        <v>48087</v>
      </c>
      <c r="BZ24" s="930"/>
      <c r="CA24" s="930"/>
      <c r="CB24" s="930"/>
      <c r="CC24" s="237"/>
      <c r="CD24" s="237"/>
      <c r="CE24" s="237"/>
      <c r="CF24" s="237"/>
      <c r="CG24" s="237"/>
      <c r="CH24" s="930" t="str">
        <f ca="1">IF(BF5=1,TEXT('③入力（生命保険）'!AW12,"#,##＃"),"")</f>
        <v>48,087</v>
      </c>
      <c r="CI24" s="930"/>
      <c r="CJ24" s="930"/>
      <c r="CK24" s="930"/>
      <c r="CL24" s="230"/>
      <c r="CM24" s="248"/>
      <c r="CN24" s="219"/>
      <c r="CO24" s="219"/>
      <c r="CP24" s="219"/>
      <c r="CQ24" s="219"/>
      <c r="CR24" s="219"/>
      <c r="CS24" s="219"/>
      <c r="CT24" s="219"/>
      <c r="CU24" s="219"/>
      <c r="CV24" s="219"/>
      <c r="CW24" s="219"/>
      <c r="CX24" s="219"/>
      <c r="CY24" s="219"/>
      <c r="CZ24" s="235"/>
      <c r="DA24" s="235"/>
      <c r="DB24" s="235"/>
      <c r="DC24" s="235"/>
      <c r="DD24" s="235"/>
      <c r="DE24" s="235"/>
      <c r="DF24" s="235"/>
      <c r="DG24" s="999"/>
      <c r="DH24" s="999"/>
      <c r="DI24" s="999"/>
      <c r="DJ24" s="999"/>
      <c r="DK24" s="999"/>
      <c r="DL24" s="999"/>
      <c r="DM24" s="236"/>
      <c r="DN24" s="236"/>
      <c r="DO24" s="236"/>
      <c r="DP24" s="236"/>
      <c r="DQ24" s="236"/>
      <c r="DR24" s="236"/>
      <c r="DS24" s="236"/>
      <c r="DT24" s="236"/>
      <c r="DU24" s="236"/>
      <c r="DV24" s="236"/>
      <c r="DW24" s="236"/>
      <c r="DX24" s="236"/>
      <c r="DY24" s="236"/>
      <c r="DZ24" s="236"/>
      <c r="EA24" s="1002"/>
      <c r="EB24" s="1002"/>
      <c r="EC24" s="1002"/>
      <c r="ED24" s="1002"/>
      <c r="EE24" s="1002"/>
      <c r="EF24" s="235"/>
    </row>
    <row r="25" spans="4:142" ht="11.25" customHeight="1">
      <c r="E25" s="130"/>
      <c r="BC25" s="130"/>
      <c r="BE25" s="2">
        <v>12</v>
      </c>
      <c r="BJ25" s="247"/>
      <c r="BK25" s="247"/>
      <c r="BL25" s="247"/>
      <c r="BM25" s="930"/>
      <c r="BN25" s="930"/>
      <c r="BO25" s="930"/>
      <c r="BP25" s="930"/>
      <c r="BQ25" s="416"/>
      <c r="BR25" s="242"/>
      <c r="BS25" s="242"/>
      <c r="BT25" s="242"/>
      <c r="BU25" s="237"/>
      <c r="BV25" s="237"/>
      <c r="BW25" s="242"/>
      <c r="BX25" s="237"/>
      <c r="BY25" s="930"/>
      <c r="BZ25" s="930"/>
      <c r="CA25" s="930"/>
      <c r="CB25" s="930"/>
      <c r="CC25" s="237"/>
      <c r="CD25" s="237"/>
      <c r="CE25" s="237"/>
      <c r="CF25" s="237"/>
      <c r="CG25" s="237"/>
      <c r="CH25" s="930"/>
      <c r="CI25" s="930"/>
      <c r="CJ25" s="930"/>
      <c r="CK25" s="930"/>
      <c r="CL25" s="230"/>
      <c r="CM25" s="248"/>
      <c r="CN25" s="219"/>
      <c r="CO25" s="219"/>
      <c r="CP25" s="219"/>
      <c r="CQ25" s="219"/>
      <c r="CR25" s="219"/>
      <c r="CS25" s="219"/>
      <c r="CT25" s="219"/>
      <c r="CU25" s="219"/>
      <c r="CV25" s="219"/>
      <c r="CW25" s="219"/>
      <c r="CX25" s="219"/>
      <c r="CY25" s="219"/>
      <c r="CZ25" s="219"/>
      <c r="DA25" s="219"/>
      <c r="DB25" s="219"/>
      <c r="DC25" s="219"/>
      <c r="DD25" s="219"/>
      <c r="DE25" s="219"/>
      <c r="DF25" s="219"/>
      <c r="DG25" s="236"/>
      <c r="DH25" s="236"/>
      <c r="DI25" s="236"/>
      <c r="DJ25" s="236"/>
      <c r="DK25" s="236"/>
      <c r="DL25" s="236"/>
      <c r="DM25" s="236"/>
      <c r="DN25" s="236"/>
      <c r="DO25" s="236"/>
      <c r="DP25" s="236"/>
      <c r="DQ25" s="236"/>
      <c r="DR25" s="236"/>
      <c r="DS25" s="236"/>
      <c r="DT25" s="236"/>
      <c r="DU25" s="236"/>
      <c r="DV25" s="236"/>
      <c r="DW25" s="236"/>
      <c r="DX25" s="236"/>
      <c r="DY25" s="236"/>
      <c r="DZ25" s="236"/>
      <c r="EA25" s="930" t="str">
        <f ca="1">IF(BF5=1,TEXT('④入力（地震・社会・小規模共済等）'!T42,"#,##＃"),"")</f>
        <v/>
      </c>
      <c r="EB25" s="930"/>
      <c r="EC25" s="930"/>
      <c r="ED25" s="930"/>
      <c r="EE25" s="238"/>
      <c r="EF25" s="235"/>
    </row>
    <row r="26" spans="4:142" ht="11.25" customHeight="1">
      <c r="E26" s="130"/>
      <c r="BC26" s="130"/>
      <c r="BE26" s="2">
        <v>13</v>
      </c>
      <c r="BF26" s="129"/>
      <c r="BG26" s="928">
        <f ca="1">BF5*3-2</f>
        <v>1</v>
      </c>
      <c r="BH26" s="67">
        <f ca="1">LEN(VLOOKUP($BG26,入力介護,BJ$11))</f>
        <v>5</v>
      </c>
      <c r="BJ26" s="929" t="str">
        <f ca="1">IF(BH26&gt;$BO$9,LEFT(VLOOKUP($BG26,入力介護,BJ$11),INT(BH26/2)),"")&amp;IF(ISODD(BH26),"　","")</f>
        <v>　</v>
      </c>
      <c r="BK26" s="929"/>
      <c r="BL26" s="929"/>
      <c r="BM26" s="929"/>
      <c r="BN26" s="929"/>
      <c r="BO26" s="931" t="str">
        <f ca="1">IF(BH27&gt;BR$9,LEFT(VLOOKUP($BG26,入力介護,BO$11),INT(BH27/2)),"")&amp;IF(ISODD(BH27),"　","")</f>
        <v/>
      </c>
      <c r="BP26" s="931"/>
      <c r="BQ26" s="931"/>
      <c r="BR26" s="927" t="str">
        <f ca="1">IF(CQ26=99,"終身",IF(SUM(CQ26)&gt;0,CQ26&amp;"年",CQ26))</f>
        <v>1年</v>
      </c>
      <c r="BS26" s="927"/>
      <c r="BT26" s="927" t="str">
        <f ca="1">VLOOKUP($BG26,入力介護,BT$11)</f>
        <v>あああ２</v>
      </c>
      <c r="BU26" s="927"/>
      <c r="BV26" s="927"/>
      <c r="BW26" s="927"/>
      <c r="BX26" s="927" t="str">
        <f ca="1">VLOOKUP($BG26,入力介護,BX$11)</f>
        <v>あああ１</v>
      </c>
      <c r="BY26" s="927"/>
      <c r="BZ26" s="927"/>
      <c r="CA26" s="927"/>
      <c r="CB26" s="927" t="str">
        <f ca="1">VLOOKUP($BG26,入力介護,CB$11)</f>
        <v>本人</v>
      </c>
      <c r="CC26" s="927"/>
      <c r="CD26" s="964"/>
      <c r="CE26" s="964"/>
      <c r="CF26" s="942">
        <f ca="1">VLOOKUP($BG26,入力介護,CI$11)</f>
        <v>150000</v>
      </c>
      <c r="CG26" s="942"/>
      <c r="CH26" s="942"/>
      <c r="CI26" s="942"/>
      <c r="CJ26" s="249"/>
      <c r="CK26" s="937" t="str">
        <f ca="1">IF($CM$6=$CM$7,VLOOKUP($BG26,入力介護,CK$11),"")</f>
        <v>生2</v>
      </c>
      <c r="CL26" s="937"/>
      <c r="CM26" s="971"/>
      <c r="CN26" s="229"/>
      <c r="CO26" s="231"/>
      <c r="CP26" s="231"/>
      <c r="CQ26" s="958">
        <f ca="1">VLOOKUP($BG26,入力介護,CQ$11)</f>
        <v>1</v>
      </c>
      <c r="CR26" s="959"/>
      <c r="CS26" s="960"/>
      <c r="CT26" s="231"/>
      <c r="CU26" s="219"/>
      <c r="CV26" s="219"/>
      <c r="CW26" s="219"/>
      <c r="CX26" s="219"/>
      <c r="CY26" s="219"/>
      <c r="CZ26" s="219"/>
      <c r="DA26" s="219"/>
      <c r="DB26" s="219"/>
      <c r="DC26" s="219"/>
      <c r="DD26" s="219"/>
      <c r="DE26" s="219"/>
      <c r="DF26" s="219"/>
      <c r="DG26" s="236"/>
      <c r="DH26" s="236"/>
      <c r="DI26" s="238"/>
      <c r="DJ26" s="238"/>
      <c r="DK26" s="238"/>
      <c r="DL26" s="238"/>
      <c r="DM26" s="238"/>
      <c r="DN26" s="240"/>
      <c r="DO26" s="240"/>
      <c r="DP26" s="240"/>
      <c r="DQ26" s="240"/>
      <c r="DR26" s="240"/>
      <c r="DS26" s="240"/>
      <c r="DT26" s="240"/>
      <c r="DU26" s="236"/>
      <c r="DV26" s="236"/>
      <c r="DW26" s="236"/>
      <c r="DX26" s="236"/>
      <c r="DY26" s="236"/>
      <c r="DZ26" s="236"/>
      <c r="EA26" s="930"/>
      <c r="EB26" s="930"/>
      <c r="EC26" s="930"/>
      <c r="ED26" s="930"/>
      <c r="EE26" s="238"/>
      <c r="EF26" s="235"/>
    </row>
    <row r="27" spans="4:142" ht="11.25" customHeight="1">
      <c r="E27" s="130"/>
      <c r="BC27" s="130"/>
      <c r="BE27" s="2">
        <v>14</v>
      </c>
      <c r="BF27" s="145"/>
      <c r="BG27" s="928"/>
      <c r="BH27" s="68">
        <f ca="1">LEN(VLOOKUP($BG26,入力介護,BO$11))</f>
        <v>4</v>
      </c>
      <c r="BJ27" s="929" t="str">
        <f ca="1">IF(BH26&gt;$BO$9,RIGHT(VLOOKUP($BG26,入力介護,BJ$11),ROUNDUP(BH26/2,0)),VLOOKUP($BG26,入力介護,BJ$11))</f>
        <v>あああ保険</v>
      </c>
      <c r="BK27" s="929"/>
      <c r="BL27" s="929"/>
      <c r="BM27" s="929"/>
      <c r="BN27" s="929"/>
      <c r="BO27" s="929" t="str">
        <f ca="1">IF(BH27&gt;BR$9,RIGHT(VLOOKUP($BG26,入力介護,BO$11),ROUNDUP(BH27/2,0)),VLOOKUP($BG26,入力介護,BO$11))</f>
        <v>いいいい</v>
      </c>
      <c r="BP27" s="929"/>
      <c r="BQ27" s="929"/>
      <c r="BR27" s="927"/>
      <c r="BS27" s="927"/>
      <c r="BT27" s="927"/>
      <c r="BU27" s="927"/>
      <c r="BV27" s="927"/>
      <c r="BW27" s="927"/>
      <c r="BX27" s="927"/>
      <c r="BY27" s="927"/>
      <c r="BZ27" s="927"/>
      <c r="CA27" s="927"/>
      <c r="CB27" s="927"/>
      <c r="CC27" s="927"/>
      <c r="CD27" s="964"/>
      <c r="CE27" s="964"/>
      <c r="CF27" s="942"/>
      <c r="CG27" s="942"/>
      <c r="CH27" s="942"/>
      <c r="CI27" s="942"/>
      <c r="CJ27" s="249"/>
      <c r="CK27" s="937"/>
      <c r="CL27" s="937"/>
      <c r="CM27" s="971"/>
      <c r="CN27" s="229"/>
      <c r="CO27" s="231"/>
      <c r="CP27" s="231"/>
      <c r="CQ27" s="961"/>
      <c r="CR27" s="962"/>
      <c r="CS27" s="963"/>
      <c r="CT27" s="231"/>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50"/>
      <c r="EA27" s="250"/>
      <c r="EB27" s="250"/>
      <c r="EC27" s="250"/>
      <c r="ED27" s="250"/>
      <c r="EE27" s="250"/>
      <c r="EF27" s="219"/>
    </row>
    <row r="28" spans="4:142" ht="11.25" customHeight="1">
      <c r="E28" s="130"/>
      <c r="BC28" s="130"/>
      <c r="BE28" s="2">
        <v>15</v>
      </c>
      <c r="BF28" s="145"/>
      <c r="BG28" s="874">
        <f ca="1">BG26+1</f>
        <v>2</v>
      </c>
      <c r="BH28" s="67">
        <f ca="1">LEN(VLOOKUP($BG28,入力介護,BJ$11))</f>
        <v>10</v>
      </c>
      <c r="BJ28" s="929" t="str">
        <f ca="1">IF(BH28&gt;$BO$9,LEFT(VLOOKUP($BG28,入力介護,BJ$11),INT(BH28/2)),"")&amp;IF(ISODD(BH28),"　","")</f>
        <v>おおおおお</v>
      </c>
      <c r="BK28" s="929"/>
      <c r="BL28" s="929"/>
      <c r="BM28" s="929"/>
      <c r="BN28" s="929"/>
      <c r="BO28" s="931" t="str">
        <f ca="1">IF(BH29&gt;BR$9,LEFT(VLOOKUP($BG28,入力介護,BO$11),INT(BH29/2)),"")&amp;IF(ISODD(BH29),"　","")</f>
        <v>おおおお　</v>
      </c>
      <c r="BP28" s="931"/>
      <c r="BQ28" s="931"/>
      <c r="BR28" s="927" t="str">
        <f ca="1">IF(CQ28=99,"終身",IF(SUM(CQ28)&gt;0,CQ28&amp;"年",CQ28))</f>
        <v>2年</v>
      </c>
      <c r="BS28" s="927"/>
      <c r="BT28" s="927" t="str">
        <f ca="1">VLOOKUP($BG28,入力介護,BT$11)</f>
        <v>あああ３</v>
      </c>
      <c r="BU28" s="927"/>
      <c r="BV28" s="927"/>
      <c r="BW28" s="927"/>
      <c r="BX28" s="927" t="str">
        <f ca="1">VLOOKUP($BG28,入力介護,BX$11)</f>
        <v>おおおお</v>
      </c>
      <c r="BY28" s="927"/>
      <c r="BZ28" s="927"/>
      <c r="CA28" s="927"/>
      <c r="CB28" s="927" t="str">
        <f ca="1">VLOOKUP($BG28,入力介護,CB$11)</f>
        <v>母</v>
      </c>
      <c r="CC28" s="927"/>
      <c r="CD28" s="964"/>
      <c r="CE28" s="964"/>
      <c r="CF28" s="942">
        <f ca="1">VLOOKUP($BG28,入力介護,CI$11)</f>
        <v>23456</v>
      </c>
      <c r="CG28" s="942"/>
      <c r="CH28" s="942"/>
      <c r="CI28" s="942"/>
      <c r="CJ28" s="249"/>
      <c r="CK28" s="937" t="str">
        <f ca="1">IF($CM$6=$CM$7,VLOOKUP($BG28,入力介護,CK$11),"")</f>
        <v>生3</v>
      </c>
      <c r="CL28" s="937"/>
      <c r="CM28" s="971"/>
      <c r="CN28" s="229"/>
      <c r="CO28" s="231"/>
      <c r="CP28" s="231"/>
      <c r="CQ28" s="958">
        <f ca="1">VLOOKUP($BG28,入力介護,CQ$11)</f>
        <v>2</v>
      </c>
      <c r="CR28" s="959"/>
      <c r="CS28" s="960"/>
      <c r="CT28" s="231"/>
      <c r="CU28" s="219"/>
      <c r="CV28" s="219"/>
      <c r="CW28" s="219"/>
      <c r="CX28" s="219"/>
      <c r="CY28" s="219"/>
      <c r="CZ28" s="219"/>
      <c r="DA28" s="219"/>
      <c r="DB28" s="219"/>
      <c r="DC28" s="219"/>
      <c r="DD28" s="219"/>
      <c r="DE28" s="219"/>
      <c r="DF28" s="219"/>
      <c r="DG28" s="219"/>
      <c r="DH28" s="219"/>
      <c r="DI28" s="219"/>
      <c r="DJ28" s="219"/>
      <c r="DK28" s="219"/>
      <c r="DL28" s="219"/>
      <c r="DM28" s="219"/>
      <c r="DN28" s="219"/>
      <c r="DO28" s="219"/>
      <c r="DP28" s="219"/>
      <c r="DQ28" s="219"/>
      <c r="DR28" s="219"/>
      <c r="DS28" s="219"/>
      <c r="DT28" s="219"/>
      <c r="DU28" s="219"/>
      <c r="DV28" s="219"/>
      <c r="DW28" s="219"/>
      <c r="DX28" s="219"/>
      <c r="DY28" s="219"/>
      <c r="DZ28" s="250"/>
      <c r="EA28" s="250"/>
      <c r="EB28" s="250"/>
      <c r="EC28" s="250"/>
      <c r="ED28" s="250"/>
      <c r="EE28" s="250"/>
      <c r="EF28" s="219"/>
    </row>
    <row r="29" spans="4:142" ht="11.25" customHeight="1">
      <c r="E29" s="130"/>
      <c r="BC29" s="130"/>
      <c r="BE29" s="2">
        <v>16</v>
      </c>
      <c r="BF29" s="145" t="s">
        <v>163</v>
      </c>
      <c r="BG29" s="874"/>
      <c r="BH29" s="68">
        <f ca="1">LEN(VLOOKUP($BG28,入力介護,BO$11))</f>
        <v>9</v>
      </c>
      <c r="BJ29" s="929" t="str">
        <f ca="1">IF(BH28&gt;$BO$9,RIGHT(VLOOKUP($BG28,入力介護,BJ$11),ROUNDUP(BH28/2,0)),VLOOKUP($BG28,入力介護,BJ$11))</f>
        <v>おおお保険</v>
      </c>
      <c r="BK29" s="929"/>
      <c r="BL29" s="929"/>
      <c r="BM29" s="929"/>
      <c r="BN29" s="929"/>
      <c r="BO29" s="929" t="str">
        <f ca="1">IF(BH29&gt;BR$9,RIGHT(VLOOKUP($BG28,入力介護,BO$11),ROUNDUP(BH29/2,0)),VLOOKUP($BG28,入力介護,BO$11))</f>
        <v>おおおおお</v>
      </c>
      <c r="BP29" s="929"/>
      <c r="BQ29" s="929"/>
      <c r="BR29" s="927"/>
      <c r="BS29" s="927"/>
      <c r="BT29" s="927"/>
      <c r="BU29" s="927"/>
      <c r="BV29" s="927"/>
      <c r="BW29" s="927"/>
      <c r="BX29" s="927"/>
      <c r="BY29" s="927"/>
      <c r="BZ29" s="927"/>
      <c r="CA29" s="927"/>
      <c r="CB29" s="927"/>
      <c r="CC29" s="927"/>
      <c r="CD29" s="964"/>
      <c r="CE29" s="964"/>
      <c r="CF29" s="942"/>
      <c r="CG29" s="942"/>
      <c r="CH29" s="942"/>
      <c r="CI29" s="942"/>
      <c r="CJ29" s="249"/>
      <c r="CK29" s="937"/>
      <c r="CL29" s="937"/>
      <c r="CM29" s="971"/>
      <c r="CN29" s="229"/>
      <c r="CO29" s="231"/>
      <c r="CP29" s="231"/>
      <c r="CQ29" s="961"/>
      <c r="CR29" s="962"/>
      <c r="CS29" s="963"/>
      <c r="CT29" s="231"/>
      <c r="CU29" s="251"/>
      <c r="CV29" s="252"/>
      <c r="CW29" s="1003">
        <f ca="1">BF5*2-1</f>
        <v>1</v>
      </c>
      <c r="CX29" s="219"/>
      <c r="CY29" s="219"/>
      <c r="CZ29" s="941">
        <f ca="1">VLOOKUP($CW29,社保入力,CZ$11)</f>
        <v>0</v>
      </c>
      <c r="DA29" s="941"/>
      <c r="DB29" s="941"/>
      <c r="DC29" s="941"/>
      <c r="DD29" s="941"/>
      <c r="DE29" s="941"/>
      <c r="DF29" s="941">
        <f ca="1">VLOOKUP($CW29,社保入力,DF$11)</f>
        <v>0</v>
      </c>
      <c r="DG29" s="941"/>
      <c r="DH29" s="941"/>
      <c r="DI29" s="941"/>
      <c r="DJ29" s="941"/>
      <c r="DK29" s="941"/>
      <c r="DL29" s="941"/>
      <c r="DM29" s="941"/>
      <c r="DN29" s="941">
        <f ca="1">VLOOKUP($CW29,社保入力,EL$11)</f>
        <v>0</v>
      </c>
      <c r="DO29" s="941"/>
      <c r="DP29" s="941"/>
      <c r="DQ29" s="941"/>
      <c r="DR29" s="941"/>
      <c r="DS29" s="941"/>
      <c r="DT29" s="941"/>
      <c r="DU29" s="253"/>
      <c r="DV29" s="941">
        <f ca="1">VLOOKUP($CW29,社保入力,DM$11)</f>
        <v>0</v>
      </c>
      <c r="DW29" s="941"/>
      <c r="DX29" s="941"/>
      <c r="DY29" s="1001">
        <f ca="1">VLOOKUP($CW29,社保入力,DO$11)</f>
        <v>0</v>
      </c>
      <c r="DZ29" s="1001"/>
      <c r="EA29" s="1001"/>
      <c r="EB29" s="1001"/>
      <c r="EC29" s="1001"/>
      <c r="ED29" s="1001"/>
      <c r="EE29" s="1001"/>
      <c r="EF29" s="219"/>
    </row>
    <row r="30" spans="4:142" ht="11.25" customHeight="1">
      <c r="E30" s="130"/>
      <c r="BC30" s="130"/>
      <c r="BE30" s="2">
        <v>17</v>
      </c>
      <c r="BF30" s="145"/>
      <c r="BG30" s="874">
        <f ca="1">BG28+1</f>
        <v>3</v>
      </c>
      <c r="BH30" s="67">
        <f ca="1">LEN(VLOOKUP($BG30,入力介護,BJ$11))</f>
        <v>8</v>
      </c>
      <c r="BJ30" s="929" t="str">
        <f ca="1">IF(BH30&gt;$BO$9,LEFT(VLOOKUP($BG30,入力介護,BJ$11),INT(BH30/2)),"")&amp;IF(ISODD(BH30),"　","")</f>
        <v/>
      </c>
      <c r="BK30" s="929"/>
      <c r="BL30" s="929"/>
      <c r="BM30" s="929"/>
      <c r="BN30" s="929"/>
      <c r="BO30" s="931" t="str">
        <f ca="1">IF(BH31&gt;BR$9,LEFT(VLOOKUP($BG30,入力介護,BO$11),INT(BH31/2)),"")&amp;IF(ISODD(BH31),"　","")</f>
        <v/>
      </c>
      <c r="BP30" s="931"/>
      <c r="BQ30" s="931"/>
      <c r="BR30" s="927" t="str">
        <f ca="1">IF(CQ30=99,"終身",IF(SUM(CQ30)&gt;0,CQ30&amp;"年",CQ30))</f>
        <v>8年</v>
      </c>
      <c r="BS30" s="927"/>
      <c r="BT30" s="927" t="str">
        <f ca="1">VLOOKUP($BG30,入力介護,BT$11)</f>
        <v>ううう６</v>
      </c>
      <c r="BU30" s="927"/>
      <c r="BV30" s="927"/>
      <c r="BW30" s="927"/>
      <c r="BX30" s="927" t="str">
        <f ca="1">VLOOKUP($BG30,入力介護,BX$11)</f>
        <v>ううう８</v>
      </c>
      <c r="BY30" s="927"/>
      <c r="BZ30" s="927"/>
      <c r="CA30" s="927"/>
      <c r="CB30" s="927" t="str">
        <f ca="1">VLOOKUP($BG30,入力介護,CB$11)</f>
        <v>父</v>
      </c>
      <c r="CC30" s="927"/>
      <c r="CD30" s="964"/>
      <c r="CE30" s="964"/>
      <c r="CF30" s="942">
        <f ca="1">VLOOKUP($BG30,入力介護,CI$11)</f>
        <v>34567</v>
      </c>
      <c r="CG30" s="942"/>
      <c r="CH30" s="942"/>
      <c r="CI30" s="942"/>
      <c r="CJ30" s="249"/>
      <c r="CK30" s="937" t="str">
        <f ca="1">IF($CM$6=$CM$7,VLOOKUP($BG30,入力介護,CK$11),"")</f>
        <v>生4</v>
      </c>
      <c r="CL30" s="937"/>
      <c r="CM30" s="971"/>
      <c r="CN30" s="229"/>
      <c r="CO30" s="231"/>
      <c r="CP30" s="231"/>
      <c r="CQ30" s="958">
        <f ca="1">VLOOKUP($BG30,入力介護,CQ$11)</f>
        <v>8</v>
      </c>
      <c r="CR30" s="959"/>
      <c r="CS30" s="960"/>
      <c r="CT30" s="231"/>
      <c r="CU30" s="254" t="s">
        <v>160</v>
      </c>
      <c r="CV30" s="255"/>
      <c r="CW30" s="1003"/>
      <c r="CX30" s="219"/>
      <c r="CY30" s="219"/>
      <c r="CZ30" s="941"/>
      <c r="DA30" s="941"/>
      <c r="DB30" s="941"/>
      <c r="DC30" s="941"/>
      <c r="DD30" s="941"/>
      <c r="DE30" s="941"/>
      <c r="DF30" s="941"/>
      <c r="DG30" s="941"/>
      <c r="DH30" s="941"/>
      <c r="DI30" s="941"/>
      <c r="DJ30" s="941"/>
      <c r="DK30" s="941"/>
      <c r="DL30" s="941"/>
      <c r="DM30" s="941"/>
      <c r="DN30" s="941"/>
      <c r="DO30" s="941"/>
      <c r="DP30" s="941"/>
      <c r="DQ30" s="941"/>
      <c r="DR30" s="941"/>
      <c r="DS30" s="941"/>
      <c r="DT30" s="941"/>
      <c r="DU30" s="253"/>
      <c r="DV30" s="941"/>
      <c r="DW30" s="941"/>
      <c r="DX30" s="941"/>
      <c r="DY30" s="1001"/>
      <c r="DZ30" s="1001"/>
      <c r="EA30" s="1001"/>
      <c r="EB30" s="1001"/>
      <c r="EC30" s="1001"/>
      <c r="ED30" s="1001"/>
      <c r="EE30" s="1001"/>
      <c r="EF30" s="219"/>
    </row>
    <row r="31" spans="4:142" ht="11.25" customHeight="1">
      <c r="E31" s="130"/>
      <c r="BC31" s="130"/>
      <c r="BE31" s="2">
        <v>18</v>
      </c>
      <c r="BF31" s="128"/>
      <c r="BG31" s="874"/>
      <c r="BH31" s="68">
        <f ca="1">LEN(VLOOKUP($BG30,入力介護,BO$11))</f>
        <v>4</v>
      </c>
      <c r="BJ31" s="929" t="str">
        <f ca="1">IF(BH30&gt;$BO$9,RIGHT(VLOOKUP($BG30,入力介護,BJ$11),ROUNDUP(BH30/2,0)),VLOOKUP($BG30,入力介護,BJ$11))</f>
        <v>うううううう保険</v>
      </c>
      <c r="BK31" s="929"/>
      <c r="BL31" s="929"/>
      <c r="BM31" s="929"/>
      <c r="BN31" s="929"/>
      <c r="BO31" s="929" t="str">
        <f ca="1">IF(BH31&gt;BR$9,RIGHT(VLOOKUP($BG30,入力介護,BO$11),ROUNDUP(BH31/2,0)),VLOOKUP($BG30,入力介護,BO$11))</f>
        <v>うううう</v>
      </c>
      <c r="BP31" s="929"/>
      <c r="BQ31" s="929"/>
      <c r="BR31" s="927"/>
      <c r="BS31" s="927"/>
      <c r="BT31" s="927"/>
      <c r="BU31" s="927"/>
      <c r="BV31" s="927"/>
      <c r="BW31" s="927"/>
      <c r="BX31" s="927"/>
      <c r="BY31" s="927"/>
      <c r="BZ31" s="927"/>
      <c r="CA31" s="927"/>
      <c r="CB31" s="927"/>
      <c r="CC31" s="927"/>
      <c r="CD31" s="964"/>
      <c r="CE31" s="964"/>
      <c r="CF31" s="942"/>
      <c r="CG31" s="942"/>
      <c r="CH31" s="942"/>
      <c r="CI31" s="942"/>
      <c r="CJ31" s="249"/>
      <c r="CK31" s="937"/>
      <c r="CL31" s="937"/>
      <c r="CM31" s="971"/>
      <c r="CN31" s="229"/>
      <c r="CO31" s="231"/>
      <c r="CP31" s="231"/>
      <c r="CQ31" s="961"/>
      <c r="CR31" s="962"/>
      <c r="CS31" s="963"/>
      <c r="CT31" s="231"/>
      <c r="CU31" s="254"/>
      <c r="CV31" s="255"/>
      <c r="CW31" s="1000">
        <f ca="1">CW29+1</f>
        <v>2</v>
      </c>
      <c r="CX31" s="219"/>
      <c r="CY31" s="219"/>
      <c r="CZ31" s="941">
        <f ca="1">VLOOKUP($CW31,社保入力,CZ$11)</f>
        <v>0</v>
      </c>
      <c r="DA31" s="941"/>
      <c r="DB31" s="941"/>
      <c r="DC31" s="941"/>
      <c r="DD31" s="941"/>
      <c r="DE31" s="941"/>
      <c r="DF31" s="941">
        <f ca="1">VLOOKUP($CW31,社保入力,DF$11)</f>
        <v>0</v>
      </c>
      <c r="DG31" s="941"/>
      <c r="DH31" s="941"/>
      <c r="DI31" s="941"/>
      <c r="DJ31" s="941"/>
      <c r="DK31" s="941"/>
      <c r="DL31" s="941"/>
      <c r="DM31" s="941"/>
      <c r="DN31" s="941">
        <f ca="1">VLOOKUP($CW31,社保入力,EL$11)</f>
        <v>0</v>
      </c>
      <c r="DO31" s="941"/>
      <c r="DP31" s="941"/>
      <c r="DQ31" s="941"/>
      <c r="DR31" s="941"/>
      <c r="DS31" s="941"/>
      <c r="DT31" s="941"/>
      <c r="DU31" s="253"/>
      <c r="DV31" s="941">
        <f ca="1">VLOOKUP($CW31,社保入力,DM$11)</f>
        <v>0</v>
      </c>
      <c r="DW31" s="941"/>
      <c r="DX31" s="941"/>
      <c r="DY31" s="1001">
        <f ca="1">VLOOKUP($CW31,社保入力,DO$11)</f>
        <v>0</v>
      </c>
      <c r="DZ31" s="1001"/>
      <c r="EA31" s="1001"/>
      <c r="EB31" s="1001"/>
      <c r="EC31" s="1001"/>
      <c r="ED31" s="1001"/>
      <c r="EE31" s="1001"/>
      <c r="EF31" s="219"/>
    </row>
    <row r="32" spans="4:142" ht="11.25" customHeight="1">
      <c r="E32" s="130"/>
      <c r="BC32" s="130"/>
      <c r="BE32" s="2">
        <v>19</v>
      </c>
      <c r="BJ32" s="247"/>
      <c r="BK32" s="247"/>
      <c r="BL32" s="247"/>
      <c r="BM32" s="930">
        <f ca="1">IF(BF5=1,'③入力（生命保険）'!AQ30,"")</f>
        <v>208026</v>
      </c>
      <c r="BN32" s="930"/>
      <c r="BO32" s="930"/>
      <c r="BP32" s="930"/>
      <c r="BQ32" s="416"/>
      <c r="BR32" s="240"/>
      <c r="BS32" s="240"/>
      <c r="BT32" s="237"/>
      <c r="BU32" s="237"/>
      <c r="BV32" s="242"/>
      <c r="BW32" s="242"/>
      <c r="BX32" s="242"/>
      <c r="BY32" s="242"/>
      <c r="BZ32" s="242"/>
      <c r="CA32" s="242"/>
      <c r="CB32" s="242"/>
      <c r="CC32" s="242"/>
      <c r="CD32" s="256"/>
      <c r="CE32" s="256"/>
      <c r="CF32" s="256"/>
      <c r="CG32" s="256"/>
      <c r="CH32" s="930" t="str">
        <f ca="1">IF(BF5=1,TEXT('③入力（生命保険）'!AV30,"#,##＃"),"")</f>
        <v>40,000</v>
      </c>
      <c r="CI32" s="930"/>
      <c r="CJ32" s="930"/>
      <c r="CK32" s="930"/>
      <c r="CL32" s="257"/>
      <c r="CM32" s="248"/>
      <c r="CN32" s="219"/>
      <c r="CO32" s="219"/>
      <c r="CP32" s="219"/>
      <c r="CQ32" s="219"/>
      <c r="CR32" s="219"/>
      <c r="CS32" s="219"/>
      <c r="CT32" s="219"/>
      <c r="CU32" s="258"/>
      <c r="CV32" s="259"/>
      <c r="CW32" s="1000"/>
      <c r="CX32" s="219"/>
      <c r="CY32" s="219"/>
      <c r="CZ32" s="941"/>
      <c r="DA32" s="941"/>
      <c r="DB32" s="941"/>
      <c r="DC32" s="941"/>
      <c r="DD32" s="941"/>
      <c r="DE32" s="941"/>
      <c r="DF32" s="941"/>
      <c r="DG32" s="941"/>
      <c r="DH32" s="941"/>
      <c r="DI32" s="941"/>
      <c r="DJ32" s="941"/>
      <c r="DK32" s="941"/>
      <c r="DL32" s="941"/>
      <c r="DM32" s="941"/>
      <c r="DN32" s="941"/>
      <c r="DO32" s="941"/>
      <c r="DP32" s="941"/>
      <c r="DQ32" s="941"/>
      <c r="DR32" s="941"/>
      <c r="DS32" s="941"/>
      <c r="DT32" s="941"/>
      <c r="DU32" s="253"/>
      <c r="DV32" s="941"/>
      <c r="DW32" s="941"/>
      <c r="DX32" s="941"/>
      <c r="DY32" s="1001"/>
      <c r="DZ32" s="1001"/>
      <c r="EA32" s="1001"/>
      <c r="EB32" s="1001"/>
      <c r="EC32" s="1001"/>
      <c r="ED32" s="1001"/>
      <c r="EE32" s="1001"/>
      <c r="EF32" s="219"/>
    </row>
    <row r="33" spans="1:136" ht="9.75" customHeight="1">
      <c r="E33" s="130"/>
      <c r="BC33" s="130"/>
      <c r="BE33" s="2">
        <v>20</v>
      </c>
      <c r="BJ33" s="247"/>
      <c r="BK33" s="247"/>
      <c r="BL33" s="247"/>
      <c r="BM33" s="930"/>
      <c r="BN33" s="930"/>
      <c r="BO33" s="930"/>
      <c r="BP33" s="930"/>
      <c r="BQ33" s="416"/>
      <c r="BR33" s="240"/>
      <c r="BS33" s="240"/>
      <c r="BT33" s="237"/>
      <c r="BU33" s="237"/>
      <c r="BV33" s="242"/>
      <c r="BW33" s="242"/>
      <c r="BX33" s="242"/>
      <c r="BY33" s="242"/>
      <c r="BZ33" s="242"/>
      <c r="CA33" s="242"/>
      <c r="CB33" s="242"/>
      <c r="CC33" s="242"/>
      <c r="CD33" s="256"/>
      <c r="CE33" s="256"/>
      <c r="CF33" s="256"/>
      <c r="CG33" s="256"/>
      <c r="CH33" s="930"/>
      <c r="CI33" s="930"/>
      <c r="CJ33" s="930"/>
      <c r="CK33" s="930"/>
      <c r="CL33" s="257"/>
      <c r="CM33" s="248"/>
      <c r="CN33" s="219"/>
      <c r="CO33" s="219"/>
      <c r="CP33" s="219"/>
      <c r="CQ33" s="219"/>
      <c r="CR33" s="219"/>
      <c r="CS33" s="219"/>
      <c r="CT33" s="219"/>
      <c r="CU33" s="219"/>
      <c r="CV33" s="219"/>
      <c r="CW33" s="219"/>
      <c r="CX33" s="219"/>
      <c r="CY33" s="219"/>
      <c r="CZ33" s="235"/>
      <c r="DA33" s="235"/>
      <c r="DB33" s="235"/>
      <c r="DC33" s="235"/>
      <c r="DD33" s="253"/>
      <c r="DE33" s="253"/>
      <c r="DF33" s="253"/>
      <c r="DG33" s="253"/>
      <c r="DH33" s="253"/>
      <c r="DI33" s="253"/>
      <c r="DJ33" s="253"/>
      <c r="DK33" s="253"/>
      <c r="DL33" s="253"/>
      <c r="DM33" s="253"/>
      <c r="DN33" s="253"/>
      <c r="DO33" s="253"/>
      <c r="DP33" s="253"/>
      <c r="DQ33" s="253"/>
      <c r="DR33" s="253"/>
      <c r="DS33" s="253"/>
      <c r="DT33" s="253"/>
      <c r="DU33" s="225"/>
      <c r="DV33" s="225"/>
      <c r="DW33" s="260"/>
      <c r="DX33" s="260"/>
      <c r="DY33" s="261"/>
      <c r="DZ33" s="930" t="str">
        <f ca="1">IF(BF5=1,TEXT('④入力（地震・社会・小規模共済等）'!T45,"#,##＃"),"")</f>
        <v/>
      </c>
      <c r="EA33" s="930"/>
      <c r="EB33" s="930"/>
      <c r="EC33" s="930"/>
      <c r="ED33" s="930"/>
      <c r="EE33" s="930"/>
      <c r="EF33" s="219"/>
    </row>
    <row r="34" spans="1:136" ht="11.25" customHeight="1">
      <c r="E34" s="130"/>
      <c r="BC34" s="130"/>
      <c r="BE34" s="2">
        <v>21</v>
      </c>
      <c r="BF34" s="129"/>
      <c r="BG34" s="928">
        <f ca="1">BF5*3-2</f>
        <v>1</v>
      </c>
      <c r="BH34" s="67">
        <f ca="1">LEN(VLOOKUP($BG34,入力年金,BJ$12))</f>
        <v>5</v>
      </c>
      <c r="BJ34" s="929" t="str">
        <f ca="1">IF(BH34&gt;$BO$9,LEFT(VLOOKUP($BG34,入力年金,BJ$12),INT(BH34/2)),"")&amp;IF(ISODD(BH34),"　","")</f>
        <v>　</v>
      </c>
      <c r="BK34" s="929"/>
      <c r="BL34" s="929"/>
      <c r="BM34" s="929"/>
      <c r="BN34" s="929"/>
      <c r="BO34" s="931" t="str">
        <f ca="1">IF(BH35&gt;BR$9,LEFT(VLOOKUP($BG34,入力年金,BO$12),INT(BH35/2)),"")&amp;IF(ISODD(BH35),"　","")</f>
        <v/>
      </c>
      <c r="BP34" s="931"/>
      <c r="BQ34" s="931"/>
      <c r="BR34" s="927">
        <f ca="1">IF(CQ34=99,"終身",IF(SUM(CQ34)&gt;0,CQ34&amp;"年",CQ34))</f>
        <v>0</v>
      </c>
      <c r="BS34" s="927"/>
      <c r="BT34" s="927" t="str">
        <f ca="1">VLOOKUP($BG34,入力年金,BT$12)</f>
        <v>あああ２</v>
      </c>
      <c r="BU34" s="927"/>
      <c r="BV34" s="927"/>
      <c r="BW34" s="927"/>
      <c r="BX34" s="964">
        <f ca="1">VLOOKUP($BG34,入力年金２,BX$12)</f>
        <v>0</v>
      </c>
      <c r="BY34" s="964"/>
      <c r="BZ34" s="964"/>
      <c r="CA34" s="964"/>
      <c r="CB34" s="927">
        <f ca="1">VLOOKUP($BG34,入力年金２,CB$12)</f>
        <v>0</v>
      </c>
      <c r="CC34" s="927"/>
      <c r="CD34" s="927" t="str">
        <f ca="1">IFERROR(VLOOKUP($BG34,入力年金,CD$12,FALSE),"")</f>
        <v>新</v>
      </c>
      <c r="CE34" s="927"/>
      <c r="CF34" s="942">
        <f ca="1">VLOOKUP($BG34,入力年金,CI$12)</f>
        <v>50000</v>
      </c>
      <c r="CG34" s="942"/>
      <c r="CH34" s="942"/>
      <c r="CI34" s="942"/>
      <c r="CJ34" s="249"/>
      <c r="CK34" s="937" t="str">
        <f ca="1">IF($CM$6=$CM$7,VLOOKUP($BG34,入力年金２,CK$12),"")</f>
        <v>生2</v>
      </c>
      <c r="CL34" s="937"/>
      <c r="CM34" s="971"/>
      <c r="CN34" s="229"/>
      <c r="CO34" s="231"/>
      <c r="CP34" s="231"/>
      <c r="CQ34" s="939">
        <f ca="1">VLOOKUP($BG34,入力年金２,CQ$12)</f>
        <v>0</v>
      </c>
      <c r="CR34" s="939"/>
      <c r="CS34" s="939"/>
      <c r="CT34" s="231"/>
      <c r="CU34" s="219"/>
      <c r="CV34" s="219"/>
      <c r="CW34" s="219"/>
      <c r="CX34" s="219"/>
      <c r="CY34" s="219"/>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56"/>
      <c r="DZ34" s="930"/>
      <c r="EA34" s="930"/>
      <c r="EB34" s="930"/>
      <c r="EC34" s="930"/>
      <c r="ED34" s="930"/>
      <c r="EE34" s="930"/>
      <c r="EF34" s="219"/>
    </row>
    <row r="35" spans="1:136" ht="11.25" customHeight="1">
      <c r="E35" s="130"/>
      <c r="BC35" s="130"/>
      <c r="BE35" s="2">
        <v>22</v>
      </c>
      <c r="BF35" s="145"/>
      <c r="BG35" s="928"/>
      <c r="BH35" s="68">
        <f ca="1">LEN(VLOOKUP($BG34,入力年金,BO$12))</f>
        <v>4</v>
      </c>
      <c r="BJ35" s="929" t="str">
        <f ca="1">IF(BH34&gt;$BO$9,RIGHT(VLOOKUP($BG34,入力年金,BJ$12),ROUNDUP(BH34/2,0)),VLOOKUP($BG34,入力年金,BJ$12))</f>
        <v>あああ保険</v>
      </c>
      <c r="BK35" s="929"/>
      <c r="BL35" s="929"/>
      <c r="BM35" s="929"/>
      <c r="BN35" s="929"/>
      <c r="BO35" s="929" t="str">
        <f ca="1">IF(BH35&gt;BR$9,RIGHT(VLOOKUP($BG34,入力年金,BO$12),ROUNDUP(BH35/2,0)),VLOOKUP($BG34,入力年金,BO$12))</f>
        <v>いいいい</v>
      </c>
      <c r="BP35" s="929"/>
      <c r="BQ35" s="929"/>
      <c r="BR35" s="927"/>
      <c r="BS35" s="927"/>
      <c r="BT35" s="927"/>
      <c r="BU35" s="927"/>
      <c r="BV35" s="927"/>
      <c r="BW35" s="927"/>
      <c r="BX35" s="262"/>
      <c r="BY35" s="262"/>
      <c r="BZ35" s="964" t="str">
        <f ca="1">IF(CO35=0,"",TEXT(CO35,"ge   ｍ   ｄ"))</f>
        <v/>
      </c>
      <c r="CA35" s="964"/>
      <c r="CB35" s="927"/>
      <c r="CC35" s="927"/>
      <c r="CD35" s="927"/>
      <c r="CE35" s="927"/>
      <c r="CF35" s="942"/>
      <c r="CG35" s="942"/>
      <c r="CH35" s="942"/>
      <c r="CI35" s="942"/>
      <c r="CJ35" s="249"/>
      <c r="CK35" s="937"/>
      <c r="CL35" s="937"/>
      <c r="CM35" s="971"/>
      <c r="CN35" s="229"/>
      <c r="CO35" s="965">
        <f ca="1">VLOOKUP($BG34,入力年金２,CO$12)</f>
        <v>0</v>
      </c>
      <c r="CP35" s="966"/>
      <c r="CQ35" s="939"/>
      <c r="CR35" s="939"/>
      <c r="CS35" s="939"/>
      <c r="CT35" s="231"/>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19"/>
      <c r="ED35" s="219"/>
      <c r="EE35" s="219"/>
      <c r="EF35" s="219"/>
    </row>
    <row r="36" spans="1:136" ht="11.25" customHeight="1">
      <c r="E36" s="130"/>
      <c r="BC36" s="130"/>
      <c r="BE36" s="2">
        <v>23</v>
      </c>
      <c r="BF36" s="145"/>
      <c r="BG36" s="874">
        <f ca="1">BG34+1</f>
        <v>2</v>
      </c>
      <c r="BH36" s="67">
        <f ca="1">LEN(VLOOKUP($BG36,入力年金,BJ$12))</f>
        <v>10</v>
      </c>
      <c r="BJ36" s="929" t="str">
        <f ca="1">IF(BH36&gt;$BO$9,LEFT(VLOOKUP($BG36,入力年金,BJ$12),INT(BH36/2)),"")&amp;IF(ISODD(BH36),"　","")</f>
        <v>おおおおお</v>
      </c>
      <c r="BK36" s="929"/>
      <c r="BL36" s="929"/>
      <c r="BM36" s="929"/>
      <c r="BN36" s="929"/>
      <c r="BO36" s="931" t="str">
        <f ca="1">IF(BH37&gt;BR$9,LEFT(VLOOKUP($BG36,入力年金,BO$12),INT(BH37/2)),"")&amp;IF(ISODD(BH37),"　","")</f>
        <v>おおおお　</v>
      </c>
      <c r="BP36" s="931"/>
      <c r="BQ36" s="931"/>
      <c r="BR36" s="927" t="str">
        <f ca="1">IF(CQ36=99,"終身",IF(SUM(CQ36)&gt;0,CQ36&amp;"年",CQ36))</f>
        <v>20年</v>
      </c>
      <c r="BS36" s="927"/>
      <c r="BT36" s="927" t="str">
        <f ca="1">VLOOKUP($BG36,入力年金,BT$12)</f>
        <v>あああ３</v>
      </c>
      <c r="BU36" s="927"/>
      <c r="BV36" s="927"/>
      <c r="BW36" s="927"/>
      <c r="BX36" s="964" t="str">
        <f ca="1">VLOOKUP($BG36,入力年金２,BX$12)</f>
        <v>おおおおお1</v>
      </c>
      <c r="BY36" s="964"/>
      <c r="BZ36" s="964"/>
      <c r="CA36" s="964"/>
      <c r="CB36" s="927" t="str">
        <f ca="1">VLOOKUP($BG36,入力年金２,CB$12)</f>
        <v>母1</v>
      </c>
      <c r="CC36" s="927"/>
      <c r="CD36" s="927" t="str">
        <f ca="1">IFERROR(VLOOKUP($BG36,入力年金,CD$12,FALSE),"")</f>
        <v>旧</v>
      </c>
      <c r="CE36" s="927"/>
      <c r="CF36" s="942">
        <f ca="1">VLOOKUP($BG36,入力年金,CI$12)</f>
        <v>-10000</v>
      </c>
      <c r="CG36" s="942"/>
      <c r="CH36" s="942"/>
      <c r="CI36" s="942"/>
      <c r="CJ36" s="249"/>
      <c r="CK36" s="937" t="str">
        <f ca="1">IF($CM$6=$CM$7,VLOOKUP($BG36,入力年金２,CK$12),"")</f>
        <v>生3</v>
      </c>
      <c r="CL36" s="937"/>
      <c r="CM36" s="971"/>
      <c r="CN36" s="229"/>
      <c r="CO36" s="231"/>
      <c r="CP36" s="231"/>
      <c r="CQ36" s="939">
        <f ca="1">VLOOKUP($BG36,入力年金２,CQ$12)</f>
        <v>20</v>
      </c>
      <c r="CR36" s="939"/>
      <c r="CS36" s="939"/>
      <c r="CT36" s="231"/>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row>
    <row r="37" spans="1:136" ht="11.25" customHeight="1">
      <c r="E37" s="130"/>
      <c r="BC37" s="130"/>
      <c r="BE37" s="2">
        <v>24</v>
      </c>
      <c r="BF37" s="145" t="s">
        <v>164</v>
      </c>
      <c r="BG37" s="874"/>
      <c r="BH37" s="68">
        <f ca="1">LEN(VLOOKUP($BG36,入力年金,BO$12))</f>
        <v>9</v>
      </c>
      <c r="BJ37" s="929" t="str">
        <f ca="1">IF(BH36&gt;$BO$9,RIGHT(VLOOKUP($BG36,入力年金,BJ$12),ROUNDUP(BH36/2,0)),VLOOKUP($BG36,入力年金,BJ$12))</f>
        <v>おおお保険</v>
      </c>
      <c r="BK37" s="929"/>
      <c r="BL37" s="929"/>
      <c r="BM37" s="929"/>
      <c r="BN37" s="929"/>
      <c r="BO37" s="929" t="str">
        <f ca="1">IF(BH37&gt;BR$9,RIGHT(VLOOKUP($BG36,入力年金,BO$12),ROUNDUP(BH37/2,0)),VLOOKUP($BG36,入力年金,BO$12))</f>
        <v>おおおおお</v>
      </c>
      <c r="BP37" s="929"/>
      <c r="BQ37" s="929"/>
      <c r="BR37" s="927"/>
      <c r="BS37" s="927"/>
      <c r="BT37" s="927"/>
      <c r="BU37" s="927"/>
      <c r="BV37" s="927"/>
      <c r="BW37" s="927"/>
      <c r="BX37" s="262"/>
      <c r="BY37" s="262"/>
      <c r="BZ37" s="964" t="str">
        <f ca="1">IF(CO37=0,"",TEXT(CO37,"ge   ｍ   ｄ"))</f>
        <v>R56   5   6</v>
      </c>
      <c r="CA37" s="964"/>
      <c r="CB37" s="927"/>
      <c r="CC37" s="927"/>
      <c r="CD37" s="927"/>
      <c r="CE37" s="927"/>
      <c r="CF37" s="942"/>
      <c r="CG37" s="942"/>
      <c r="CH37" s="942"/>
      <c r="CI37" s="942"/>
      <c r="CJ37" s="249"/>
      <c r="CK37" s="937"/>
      <c r="CL37" s="937"/>
      <c r="CM37" s="971"/>
      <c r="CN37" s="229"/>
      <c r="CO37" s="965">
        <f ca="1">VLOOKUP($BG36,入力年金２,CO$12)</f>
        <v>63680</v>
      </c>
      <c r="CP37" s="966"/>
      <c r="CQ37" s="939"/>
      <c r="CR37" s="939"/>
      <c r="CS37" s="939"/>
      <c r="CT37" s="231"/>
      <c r="CU37" s="219"/>
      <c r="CV37" s="219"/>
      <c r="CW37" s="219"/>
      <c r="CX37" s="219"/>
      <c r="CY37" s="219"/>
      <c r="CZ37" s="219"/>
      <c r="DA37" s="219"/>
      <c r="DB37" s="219"/>
      <c r="DC37" s="219"/>
      <c r="DD37" s="219"/>
      <c r="DE37" s="219"/>
      <c r="DF37" s="219"/>
      <c r="DG37" s="219"/>
      <c r="DH37" s="219"/>
      <c r="DI37" s="219"/>
      <c r="DJ37" s="219"/>
      <c r="DK37" s="219"/>
      <c r="DL37" s="219"/>
      <c r="DM37" s="219"/>
      <c r="DN37" s="219"/>
      <c r="DO37" s="219"/>
      <c r="DP37" s="219"/>
      <c r="DQ37" s="219"/>
      <c r="DR37" s="219"/>
      <c r="DS37" s="219"/>
      <c r="DT37" s="219"/>
      <c r="DU37" s="219"/>
      <c r="DV37" s="219"/>
      <c r="DW37" s="219"/>
      <c r="DX37" s="219"/>
      <c r="DY37" s="219"/>
      <c r="DZ37" s="219"/>
      <c r="EA37" s="219"/>
      <c r="EB37" s="219"/>
      <c r="EC37" s="219"/>
      <c r="ED37" s="219"/>
      <c r="EE37" s="219"/>
      <c r="EF37" s="219"/>
    </row>
    <row r="38" spans="1:136" ht="11.25" customHeight="1">
      <c r="E38" s="130"/>
      <c r="BC38" s="130"/>
      <c r="BE38" s="2">
        <v>25</v>
      </c>
      <c r="BF38" s="145" t="s">
        <v>403</v>
      </c>
      <c r="BG38" s="874">
        <f ca="1">BG36+1</f>
        <v>3</v>
      </c>
      <c r="BH38" s="67">
        <f ca="1">LEN(VLOOKUP($BG38,入力年金,BJ$12))</f>
        <v>8</v>
      </c>
      <c r="BJ38" s="929" t="str">
        <f ca="1">IF(BH38&gt;$BO$9,LEFT(VLOOKUP($BG38,入力年金,BJ$12),INT(BH38/2)),"")&amp;IF(ISODD(BH38),"　","")</f>
        <v/>
      </c>
      <c r="BK38" s="929"/>
      <c r="BL38" s="929"/>
      <c r="BM38" s="929"/>
      <c r="BN38" s="929"/>
      <c r="BO38" s="931" t="str">
        <f ca="1">IF(BH39&gt;BR$9,LEFT(VLOOKUP($BG38,入力年金,BO$12),INT(BH39/2)),"")&amp;IF(ISODD(BH39),"　","")</f>
        <v/>
      </c>
      <c r="BP38" s="931"/>
      <c r="BQ38" s="931"/>
      <c r="BR38" s="927">
        <f ca="1">IF(CQ38=99,"終身",IF(SUM(CQ38)&gt;0,CQ38&amp;"年",CQ38))</f>
        <v>0</v>
      </c>
      <c r="BS38" s="927"/>
      <c r="BT38" s="927" t="str">
        <f ca="1">VLOOKUP($BG38,入力年金,BT$12)</f>
        <v>ううう６</v>
      </c>
      <c r="BU38" s="927"/>
      <c r="BV38" s="927"/>
      <c r="BW38" s="927"/>
      <c r="BX38" s="964">
        <f ca="1">VLOOKUP($BG38,入力年金２,BX$12)</f>
        <v>0</v>
      </c>
      <c r="BY38" s="964"/>
      <c r="BZ38" s="964"/>
      <c r="CA38" s="964"/>
      <c r="CB38" s="927">
        <f ca="1">VLOOKUP($BG38,入力年金２,CB$12)</f>
        <v>0</v>
      </c>
      <c r="CC38" s="927"/>
      <c r="CD38" s="927" t="str">
        <f ca="1">IFERROR(VLOOKUP($BG38,入力年金,CD$12,FALSE),"")</f>
        <v>旧</v>
      </c>
      <c r="CE38" s="927"/>
      <c r="CF38" s="942">
        <f ca="1">VLOOKUP($BG38,入力年金,CI$12)</f>
        <v>56789</v>
      </c>
      <c r="CG38" s="942"/>
      <c r="CH38" s="942"/>
      <c r="CI38" s="942"/>
      <c r="CJ38" s="249"/>
      <c r="CK38" s="937" t="str">
        <f ca="1">IF($CM$6=$CM$7,VLOOKUP($BG38,入力年金２,CK$12),"")</f>
        <v>生4</v>
      </c>
      <c r="CL38" s="937"/>
      <c r="CM38" s="971"/>
      <c r="CN38" s="229"/>
      <c r="CO38" s="231"/>
      <c r="CP38" s="231"/>
      <c r="CQ38" s="939">
        <f ca="1">VLOOKUP($BG38,入力年金２,CQ$12)</f>
        <v>0</v>
      </c>
      <c r="CR38" s="939"/>
      <c r="CS38" s="939"/>
      <c r="CT38" s="231"/>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21">
        <v>5</v>
      </c>
      <c r="EB38" s="219"/>
      <c r="EC38" s="219"/>
      <c r="ED38" s="219"/>
      <c r="EE38" s="219"/>
      <c r="EF38" s="219"/>
    </row>
    <row r="39" spans="1:136" ht="10.5" customHeight="1">
      <c r="E39" s="130"/>
      <c r="BC39" s="130"/>
      <c r="BE39" s="2">
        <v>26</v>
      </c>
      <c r="BF39" s="128"/>
      <c r="BG39" s="874"/>
      <c r="BH39" s="68">
        <f ca="1">LEN(VLOOKUP($BG38,入力年金,BO$12))</f>
        <v>4</v>
      </c>
      <c r="BJ39" s="929" t="str">
        <f ca="1">IF(BH38&gt;$BO$9,RIGHT(VLOOKUP($BG38,入力年金,BJ$12),ROUNDUP(BH38/2,0)),VLOOKUP($BG38,入力年金,BJ$12))</f>
        <v>うううううう保険</v>
      </c>
      <c r="BK39" s="929"/>
      <c r="BL39" s="929"/>
      <c r="BM39" s="929"/>
      <c r="BN39" s="929"/>
      <c r="BO39" s="929" t="str">
        <f ca="1">IF(BH39&gt;BR$9,RIGHT(VLOOKUP($BG38,入力年金,BO$12),ROUNDUP(BH39/2,0)),VLOOKUP($BG38,入力年金,BO$12))</f>
        <v>うううう</v>
      </c>
      <c r="BP39" s="929"/>
      <c r="BQ39" s="929"/>
      <c r="BR39" s="927"/>
      <c r="BS39" s="927"/>
      <c r="BT39" s="927"/>
      <c r="BU39" s="927"/>
      <c r="BV39" s="927"/>
      <c r="BW39" s="927"/>
      <c r="BX39" s="262"/>
      <c r="BY39" s="262"/>
      <c r="BZ39" s="964" t="str">
        <f ca="1">IF(CO39=0,"",TEXT(CO39,"ge   ｍ   ｄ"))</f>
        <v/>
      </c>
      <c r="CA39" s="964"/>
      <c r="CB39" s="927"/>
      <c r="CC39" s="927"/>
      <c r="CD39" s="927"/>
      <c r="CE39" s="927"/>
      <c r="CF39" s="942"/>
      <c r="CG39" s="942"/>
      <c r="CH39" s="942"/>
      <c r="CI39" s="942"/>
      <c r="CJ39" s="249"/>
      <c r="CK39" s="937"/>
      <c r="CL39" s="937"/>
      <c r="CM39" s="971"/>
      <c r="CN39" s="229"/>
      <c r="CO39" s="965">
        <f ca="1">VLOOKUP($BG38,入力年金２,CO$12)</f>
        <v>0</v>
      </c>
      <c r="CP39" s="966"/>
      <c r="CQ39" s="939"/>
      <c r="CR39" s="939"/>
      <c r="CS39" s="939"/>
      <c r="CT39" s="231"/>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row>
    <row r="40" spans="1:136" ht="10.5" customHeight="1">
      <c r="E40" s="130"/>
      <c r="BC40" s="130"/>
      <c r="BE40" s="2">
        <v>27</v>
      </c>
      <c r="BG40" s="35"/>
      <c r="BJ40" s="219"/>
      <c r="BK40" s="219"/>
      <c r="BL40" s="219"/>
      <c r="BM40" s="930">
        <f ca="1">IF(BF5=1,'③入力（生命保険）'!AQ35,"")</f>
        <v>50000</v>
      </c>
      <c r="BN40" s="930"/>
      <c r="BO40" s="930"/>
      <c r="BP40" s="930"/>
      <c r="BQ40" s="263"/>
      <c r="BR40" s="263"/>
      <c r="BS40" s="263"/>
      <c r="BT40" s="263"/>
      <c r="BU40" s="263"/>
      <c r="BV40" s="263"/>
      <c r="BW40" s="240"/>
      <c r="BX40" s="263"/>
      <c r="BY40" s="930">
        <f ca="1">IF(BF5=1,'③入力（生命保険）'!AT35,"")</f>
        <v>32500</v>
      </c>
      <c r="BZ40" s="930"/>
      <c r="CA40" s="930"/>
      <c r="CB40" s="930"/>
      <c r="CC40" s="263"/>
      <c r="CD40" s="261"/>
      <c r="CE40" s="256"/>
      <c r="CF40" s="256"/>
      <c r="CG40" s="256"/>
      <c r="CH40" s="930">
        <f ca="1">IF(BF5=1,'③入力（生命保険）'!AW35,"")</f>
        <v>40000</v>
      </c>
      <c r="CI40" s="930"/>
      <c r="CJ40" s="930"/>
      <c r="CK40" s="930"/>
      <c r="CL40" s="257"/>
      <c r="CM40" s="219"/>
      <c r="CN40" s="219"/>
      <c r="CO40" s="219"/>
      <c r="CP40" s="219"/>
      <c r="CQ40" s="219"/>
      <c r="CR40" s="219"/>
      <c r="CS40" s="219"/>
      <c r="CT40" s="219"/>
      <c r="CU40" s="222"/>
      <c r="CV40" s="223"/>
      <c r="CW40" s="970">
        <f ca="1">BF5*4-3</f>
        <v>1</v>
      </c>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942">
        <f ca="1">IF(CW40&gt;4,"",VLOOKUP($CW40,小規模入力,EA$38,FALSE))</f>
        <v>0</v>
      </c>
      <c r="EB40" s="942"/>
      <c r="EC40" s="942"/>
      <c r="ED40" s="942"/>
      <c r="EE40" s="942"/>
      <c r="EF40" s="219"/>
    </row>
    <row r="41" spans="1:136" ht="10.5" customHeight="1">
      <c r="E41" s="130"/>
      <c r="BC41" s="130"/>
      <c r="BE41" s="2">
        <v>28</v>
      </c>
      <c r="BH41" s="27"/>
      <c r="BJ41" s="219"/>
      <c r="BK41" s="219"/>
      <c r="BL41" s="219"/>
      <c r="BM41" s="930"/>
      <c r="BN41" s="930"/>
      <c r="BO41" s="930"/>
      <c r="BP41" s="930"/>
      <c r="BQ41" s="263"/>
      <c r="BR41" s="263"/>
      <c r="BS41" s="263"/>
      <c r="BT41" s="263"/>
      <c r="BU41" s="263"/>
      <c r="BV41" s="263"/>
      <c r="BW41" s="240"/>
      <c r="BX41" s="263"/>
      <c r="BY41" s="930"/>
      <c r="BZ41" s="930"/>
      <c r="CA41" s="930"/>
      <c r="CB41" s="930"/>
      <c r="CC41" s="263"/>
      <c r="CD41" s="261"/>
      <c r="CE41" s="256"/>
      <c r="CF41" s="256"/>
      <c r="CG41" s="256"/>
      <c r="CH41" s="930"/>
      <c r="CI41" s="930"/>
      <c r="CJ41" s="930"/>
      <c r="CK41" s="930"/>
      <c r="CL41" s="257"/>
      <c r="CM41" s="219"/>
      <c r="CN41" s="219"/>
      <c r="CO41" s="219"/>
      <c r="CP41" s="219"/>
      <c r="CQ41" s="219"/>
      <c r="CR41" s="219"/>
      <c r="CS41" s="219"/>
      <c r="CT41" s="219"/>
      <c r="CU41" s="227"/>
      <c r="CV41" s="228"/>
      <c r="CW41" s="970"/>
      <c r="CX41" s="219"/>
      <c r="CY41" s="219"/>
      <c r="CZ41" s="219"/>
      <c r="DA41" s="264"/>
      <c r="DB41" s="264"/>
      <c r="DC41" s="264"/>
      <c r="DD41" s="219"/>
      <c r="DE41" s="219"/>
      <c r="DF41" s="219"/>
      <c r="DG41" s="219"/>
      <c r="DH41" s="219"/>
      <c r="DI41" s="219"/>
      <c r="DJ41" s="264"/>
      <c r="DK41" s="264"/>
      <c r="DL41" s="264"/>
      <c r="DM41" s="264"/>
      <c r="DN41" s="264"/>
      <c r="DO41" s="264"/>
      <c r="DP41" s="264"/>
      <c r="DQ41" s="265"/>
      <c r="DR41" s="265"/>
      <c r="DS41" s="265"/>
      <c r="DT41" s="219"/>
      <c r="DU41" s="219"/>
      <c r="DV41" s="219"/>
      <c r="DW41" s="219"/>
      <c r="DX41" s="219"/>
      <c r="DY41" s="219"/>
      <c r="DZ41" s="219"/>
      <c r="EA41" s="942"/>
      <c r="EB41" s="942"/>
      <c r="EC41" s="942"/>
      <c r="ED41" s="942"/>
      <c r="EE41" s="942"/>
      <c r="EF41" s="219"/>
    </row>
    <row r="42" spans="1:136" ht="10.5" customHeight="1">
      <c r="E42" s="130"/>
      <c r="BC42" s="130"/>
      <c r="BE42" s="2">
        <v>29</v>
      </c>
      <c r="BH42" s="23"/>
      <c r="BJ42" s="219"/>
      <c r="BK42" s="219"/>
      <c r="BL42" s="219"/>
      <c r="BM42" s="930">
        <f ca="1">IF(BF5=1,'③入力（生命保険）'!AQ36,"")</f>
        <v>46793</v>
      </c>
      <c r="BN42" s="930"/>
      <c r="BO42" s="930"/>
      <c r="BP42" s="930"/>
      <c r="BQ42" s="263"/>
      <c r="BR42" s="263"/>
      <c r="BS42" s="263"/>
      <c r="BT42" s="263"/>
      <c r="BU42" s="263"/>
      <c r="BV42" s="263"/>
      <c r="BW42" s="240"/>
      <c r="BX42" s="263"/>
      <c r="BY42" s="930">
        <f ca="1">IF(BF5=1,'③入力（生命保険）'!AT36,"")</f>
        <v>35897</v>
      </c>
      <c r="BZ42" s="930"/>
      <c r="CA42" s="930"/>
      <c r="CB42" s="930"/>
      <c r="CC42" s="263"/>
      <c r="CD42" s="263"/>
      <c r="CE42" s="256"/>
      <c r="CF42" s="256"/>
      <c r="CG42" s="256"/>
      <c r="CH42" s="930" t="str">
        <f ca="1">IF(BF5=1,TEXT('③入力（生命保険）'!AW36,"#,##＃"),"")</f>
        <v>40,000</v>
      </c>
      <c r="CI42" s="930"/>
      <c r="CJ42" s="930"/>
      <c r="CK42" s="930"/>
      <c r="CL42" s="257"/>
      <c r="CM42" s="220"/>
      <c r="CN42" s="220"/>
      <c r="CO42" s="220"/>
      <c r="CP42" s="220"/>
      <c r="CQ42" s="219"/>
      <c r="CR42" s="219"/>
      <c r="CS42" s="219"/>
      <c r="CT42" s="219"/>
      <c r="CU42" s="227"/>
      <c r="CV42" s="228"/>
      <c r="CW42" s="968">
        <f ca="1">CW40+1</f>
        <v>2</v>
      </c>
      <c r="CX42" s="219"/>
      <c r="CY42" s="219"/>
      <c r="CZ42" s="219"/>
      <c r="DA42" s="264"/>
      <c r="DB42" s="264"/>
      <c r="DC42" s="264"/>
      <c r="DD42" s="219"/>
      <c r="DE42" s="219"/>
      <c r="DF42" s="219"/>
      <c r="DG42" s="219"/>
      <c r="DH42" s="219"/>
      <c r="DI42" s="219"/>
      <c r="DJ42" s="264"/>
      <c r="DK42" s="264"/>
      <c r="DL42" s="264"/>
      <c r="DM42" s="264"/>
      <c r="DN42" s="264"/>
      <c r="DO42" s="264"/>
      <c r="DP42" s="264"/>
      <c r="DQ42" s="265"/>
      <c r="DR42" s="265"/>
      <c r="DS42" s="265"/>
      <c r="DT42" s="219"/>
      <c r="DU42" s="219"/>
      <c r="DV42" s="219"/>
      <c r="DW42" s="219"/>
      <c r="DX42" s="219"/>
      <c r="DY42" s="219"/>
      <c r="DZ42" s="219"/>
      <c r="EA42" s="942">
        <f ca="1">IF(CW42&gt;4,"",VLOOKUP($CW42,小規模入力,EA$38,FALSE))</f>
        <v>0</v>
      </c>
      <c r="EB42" s="942"/>
      <c r="EC42" s="942"/>
      <c r="ED42" s="942"/>
      <c r="EE42" s="942"/>
      <c r="EF42" s="219"/>
    </row>
    <row r="43" spans="1:136" ht="10.5" customHeight="1">
      <c r="E43" s="130"/>
      <c r="BC43" s="130"/>
      <c r="BE43" s="2">
        <v>30</v>
      </c>
      <c r="BJ43" s="220"/>
      <c r="BK43" s="220"/>
      <c r="BL43" s="220"/>
      <c r="BM43" s="930"/>
      <c r="BN43" s="930"/>
      <c r="BO43" s="930"/>
      <c r="BP43" s="930"/>
      <c r="BQ43" s="263"/>
      <c r="BR43" s="263"/>
      <c r="BS43" s="263"/>
      <c r="BT43" s="263"/>
      <c r="BU43" s="263"/>
      <c r="BV43" s="263"/>
      <c r="BW43" s="240"/>
      <c r="BX43" s="263"/>
      <c r="BY43" s="930"/>
      <c r="BZ43" s="930"/>
      <c r="CA43" s="930"/>
      <c r="CB43" s="930"/>
      <c r="CC43" s="263"/>
      <c r="CD43" s="263"/>
      <c r="CE43" s="256"/>
      <c r="CF43" s="256"/>
      <c r="CG43" s="256"/>
      <c r="CH43" s="930"/>
      <c r="CI43" s="930"/>
      <c r="CJ43" s="930"/>
      <c r="CK43" s="930"/>
      <c r="CL43" s="257"/>
      <c r="CM43" s="262"/>
      <c r="CN43" s="262"/>
      <c r="CO43" s="262"/>
      <c r="CP43" s="262"/>
      <c r="CQ43" s="219"/>
      <c r="CR43" s="219"/>
      <c r="CS43" s="219"/>
      <c r="CT43" s="219"/>
      <c r="CU43" s="266" t="s">
        <v>161</v>
      </c>
      <c r="CV43" s="228"/>
      <c r="CW43" s="968"/>
      <c r="CX43" s="219"/>
      <c r="CY43" s="219"/>
      <c r="CZ43" s="219"/>
      <c r="DA43" s="264"/>
      <c r="DB43" s="264"/>
      <c r="DC43" s="264"/>
      <c r="DD43" s="219"/>
      <c r="DE43" s="219"/>
      <c r="DF43" s="219"/>
      <c r="DG43" s="219"/>
      <c r="DH43" s="219"/>
      <c r="DI43" s="219"/>
      <c r="DJ43" s="264"/>
      <c r="DK43" s="264"/>
      <c r="DL43" s="264"/>
      <c r="DM43" s="264"/>
      <c r="DN43" s="264"/>
      <c r="DO43" s="264"/>
      <c r="DP43" s="264"/>
      <c r="DQ43" s="265"/>
      <c r="DR43" s="265"/>
      <c r="DS43" s="265"/>
      <c r="DT43" s="219"/>
      <c r="DU43" s="219"/>
      <c r="DV43" s="219"/>
      <c r="DW43" s="219"/>
      <c r="DX43" s="219"/>
      <c r="DY43" s="219"/>
      <c r="DZ43" s="219"/>
      <c r="EA43" s="942"/>
      <c r="EB43" s="942"/>
      <c r="EC43" s="942"/>
      <c r="ED43" s="942"/>
      <c r="EE43" s="942"/>
      <c r="EF43" s="219"/>
    </row>
    <row r="44" spans="1:136" ht="10.5" customHeight="1">
      <c r="E44" s="130"/>
      <c r="BC44" s="130"/>
      <c r="BJ44" s="267"/>
      <c r="BK44" s="267"/>
      <c r="BL44" s="267"/>
      <c r="BM44" s="261"/>
      <c r="BN44" s="263"/>
      <c r="BO44" s="263"/>
      <c r="BP44" s="263"/>
      <c r="BQ44" s="263"/>
      <c r="BR44" s="237"/>
      <c r="BS44" s="237"/>
      <c r="BT44" s="237"/>
      <c r="BU44" s="237"/>
      <c r="BV44" s="237"/>
      <c r="BW44" s="237"/>
      <c r="BX44" s="240"/>
      <c r="BY44" s="237"/>
      <c r="BZ44" s="237"/>
      <c r="CA44" s="237"/>
      <c r="CB44" s="237"/>
      <c r="CC44" s="237"/>
      <c r="CD44" s="237"/>
      <c r="CE44" s="237"/>
      <c r="CF44" s="237"/>
      <c r="CG44" s="237"/>
      <c r="CH44" s="237"/>
      <c r="CI44" s="237"/>
      <c r="CJ44" s="237"/>
      <c r="CK44" s="237"/>
      <c r="CL44" s="260"/>
      <c r="CM44" s="262"/>
      <c r="CN44" s="262"/>
      <c r="CO44" s="262"/>
      <c r="CP44" s="262"/>
      <c r="CQ44" s="219"/>
      <c r="CR44" s="219"/>
      <c r="CS44" s="219"/>
      <c r="CT44" s="219"/>
      <c r="CU44" s="227"/>
      <c r="CV44" s="228"/>
      <c r="CW44" s="968">
        <f t="shared" ref="CW44" ca="1" si="3">CW42+1</f>
        <v>3</v>
      </c>
      <c r="CX44" s="219"/>
      <c r="CY44" s="219"/>
      <c r="CZ44" s="219"/>
      <c r="DA44" s="264"/>
      <c r="DB44" s="264"/>
      <c r="DC44" s="264"/>
      <c r="DD44" s="219"/>
      <c r="DE44" s="219"/>
      <c r="DF44" s="219"/>
      <c r="DG44" s="219"/>
      <c r="DH44" s="219"/>
      <c r="DI44" s="219"/>
      <c r="DJ44" s="264"/>
      <c r="DK44" s="264"/>
      <c r="DL44" s="264"/>
      <c r="DM44" s="264"/>
      <c r="DN44" s="264"/>
      <c r="DO44" s="264"/>
      <c r="DP44" s="264"/>
      <c r="DQ44" s="265"/>
      <c r="DR44" s="265"/>
      <c r="DS44" s="265"/>
      <c r="DT44" s="219"/>
      <c r="DU44" s="219"/>
      <c r="DV44" s="219"/>
      <c r="DW44" s="219"/>
      <c r="DX44" s="219"/>
      <c r="DY44" s="219"/>
      <c r="DZ44" s="219"/>
      <c r="EA44" s="942">
        <f ca="1">IF(CW44&gt;4,"",VLOOKUP($CW44,小規模入力,EA$38,FALSE))</f>
        <v>0</v>
      </c>
      <c r="EB44" s="942"/>
      <c r="EC44" s="942"/>
      <c r="ED44" s="942"/>
      <c r="EE44" s="942"/>
      <c r="EF44" s="219"/>
    </row>
    <row r="45" spans="1:136" ht="10.5" customHeight="1">
      <c r="A45" s="3"/>
      <c r="B45" s="158" t="s">
        <v>179</v>
      </c>
      <c r="C45" s="160" t="s">
        <v>180</v>
      </c>
      <c r="E45" s="130"/>
      <c r="BC45" s="130"/>
      <c r="BJ45" s="220"/>
      <c r="BK45" s="220"/>
      <c r="BL45" s="220"/>
      <c r="BM45" s="268"/>
      <c r="BN45" s="263"/>
      <c r="BO45" s="263"/>
      <c r="BP45" s="263"/>
      <c r="BQ45" s="263"/>
      <c r="BR45" s="237"/>
      <c r="BS45" s="237"/>
      <c r="BT45" s="237"/>
      <c r="BU45" s="237"/>
      <c r="BV45" s="237"/>
      <c r="BW45" s="237"/>
      <c r="BX45" s="263"/>
      <c r="BY45" s="263"/>
      <c r="BZ45" s="263"/>
      <c r="CA45" s="263"/>
      <c r="CB45" s="256"/>
      <c r="CC45" s="256"/>
      <c r="CD45" s="256"/>
      <c r="CE45" s="256"/>
      <c r="CF45" s="256"/>
      <c r="CG45" s="256"/>
      <c r="CH45" s="256"/>
      <c r="CI45" s="256"/>
      <c r="CJ45" s="256"/>
      <c r="CK45" s="256"/>
      <c r="CL45" s="260"/>
      <c r="CM45" s="262"/>
      <c r="CN45" s="262"/>
      <c r="CO45" s="262"/>
      <c r="CP45" s="262"/>
      <c r="CQ45" s="219"/>
      <c r="CR45" s="219"/>
      <c r="CS45" s="219"/>
      <c r="CT45" s="219"/>
      <c r="CU45" s="227"/>
      <c r="CV45" s="228"/>
      <c r="CW45" s="968"/>
      <c r="CX45" s="219"/>
      <c r="CY45" s="219"/>
      <c r="CZ45" s="219"/>
      <c r="DA45" s="264"/>
      <c r="DB45" s="264"/>
      <c r="DC45" s="264"/>
      <c r="DD45" s="219"/>
      <c r="DE45" s="219"/>
      <c r="DF45" s="219"/>
      <c r="DG45" s="219"/>
      <c r="DH45" s="219"/>
      <c r="DI45" s="219"/>
      <c r="DJ45" s="264"/>
      <c r="DK45" s="264"/>
      <c r="DL45" s="264"/>
      <c r="DM45" s="264"/>
      <c r="DN45" s="264"/>
      <c r="DO45" s="264"/>
      <c r="DP45" s="264"/>
      <c r="DQ45" s="265"/>
      <c r="DR45" s="265"/>
      <c r="DS45" s="265"/>
      <c r="DT45" s="219"/>
      <c r="DU45" s="219"/>
      <c r="DV45" s="219"/>
      <c r="DW45" s="219"/>
      <c r="DX45" s="219"/>
      <c r="DY45" s="219"/>
      <c r="DZ45" s="219"/>
      <c r="EA45" s="942"/>
      <c r="EB45" s="942"/>
      <c r="EC45" s="942"/>
      <c r="ED45" s="942"/>
      <c r="EE45" s="942"/>
      <c r="EF45" s="219"/>
    </row>
    <row r="46" spans="1:136" ht="10.5" customHeight="1">
      <c r="A46" s="149" t="s">
        <v>167</v>
      </c>
      <c r="B46" s="149">
        <f ca="1">'③入力（生命保険）'!K27-1</f>
        <v>6</v>
      </c>
      <c r="C46" s="149">
        <f ca="1">ROUNDUP(B46/4,0)</f>
        <v>2</v>
      </c>
      <c r="E46" s="130"/>
      <c r="BC46" s="130"/>
      <c r="BJ46" s="267"/>
      <c r="BK46" s="267"/>
      <c r="BL46" s="267"/>
      <c r="BM46" s="261"/>
      <c r="BN46" s="263"/>
      <c r="BO46" s="263"/>
      <c r="BP46" s="263"/>
      <c r="BQ46" s="263"/>
      <c r="BR46" s="237"/>
      <c r="BS46" s="237"/>
      <c r="BT46" s="237"/>
      <c r="BU46" s="237"/>
      <c r="BV46" s="237"/>
      <c r="BW46" s="237"/>
      <c r="BX46" s="240"/>
      <c r="BY46" s="237"/>
      <c r="BZ46" s="237"/>
      <c r="CA46" s="237"/>
      <c r="CB46" s="256"/>
      <c r="CC46" s="256"/>
      <c r="CD46" s="256"/>
      <c r="CE46" s="256"/>
      <c r="CF46" s="256"/>
      <c r="CG46" s="256"/>
      <c r="CH46" s="256"/>
      <c r="CI46" s="256"/>
      <c r="CJ46" s="256"/>
      <c r="CK46" s="256"/>
      <c r="CL46" s="260"/>
      <c r="CM46" s="262"/>
      <c r="CN46" s="262"/>
      <c r="CO46" s="262"/>
      <c r="CP46" s="262"/>
      <c r="CQ46" s="219"/>
      <c r="CR46" s="219"/>
      <c r="CS46" s="219"/>
      <c r="CT46" s="219"/>
      <c r="CU46" s="227"/>
      <c r="CV46" s="228"/>
      <c r="CW46" s="968">
        <f t="shared" ref="CW46" ca="1" si="4">CW44+1</f>
        <v>4</v>
      </c>
      <c r="CX46" s="219"/>
      <c r="CY46" s="219"/>
      <c r="CZ46" s="219"/>
      <c r="DA46" s="264"/>
      <c r="DB46" s="264"/>
      <c r="DC46" s="264"/>
      <c r="DD46" s="219"/>
      <c r="DE46" s="219"/>
      <c r="DF46" s="219"/>
      <c r="DG46" s="219"/>
      <c r="DH46" s="219"/>
      <c r="DI46" s="219"/>
      <c r="DJ46" s="264"/>
      <c r="DK46" s="264"/>
      <c r="DL46" s="264"/>
      <c r="DM46" s="264"/>
      <c r="DN46" s="264"/>
      <c r="DO46" s="264"/>
      <c r="DP46" s="264"/>
      <c r="DQ46" s="265"/>
      <c r="DR46" s="265"/>
      <c r="DS46" s="265"/>
      <c r="DT46" s="219"/>
      <c r="DU46" s="219"/>
      <c r="DV46" s="219"/>
      <c r="DW46" s="219"/>
      <c r="DX46" s="219"/>
      <c r="DY46" s="219"/>
      <c r="DZ46" s="219"/>
      <c r="EA46" s="942">
        <f ca="1">IF(CW46&gt;4,"",VLOOKUP($CW46,小規模入力,EA$38,FALSE))</f>
        <v>0</v>
      </c>
      <c r="EB46" s="942"/>
      <c r="EC46" s="942"/>
      <c r="ED46" s="942"/>
      <c r="EE46" s="942"/>
      <c r="EF46" s="219"/>
    </row>
    <row r="47" spans="1:136" ht="10.5" customHeight="1">
      <c r="A47" s="149" t="s">
        <v>168</v>
      </c>
      <c r="B47" s="149">
        <f ca="1">'③入力（生命保険）'!L27-1</f>
        <v>4</v>
      </c>
      <c r="C47" s="149">
        <f ca="1">ROUNDUP(B47/3,0)</f>
        <v>2</v>
      </c>
      <c r="E47" s="130"/>
      <c r="BC47" s="130"/>
      <c r="BJ47" s="220"/>
      <c r="BK47" s="220"/>
      <c r="BL47" s="220"/>
      <c r="BM47" s="268"/>
      <c r="BN47" s="268"/>
      <c r="BO47" s="268"/>
      <c r="BP47" s="268"/>
      <c r="BQ47" s="268"/>
      <c r="BR47" s="269"/>
      <c r="BS47" s="269"/>
      <c r="BT47" s="269"/>
      <c r="BU47" s="269"/>
      <c r="BV47" s="269"/>
      <c r="BW47" s="269"/>
      <c r="BX47" s="261"/>
      <c r="BY47" s="261"/>
      <c r="BZ47" s="261"/>
      <c r="CA47" s="261"/>
      <c r="CB47" s="269"/>
      <c r="CC47" s="269"/>
      <c r="CD47" s="269"/>
      <c r="CE47" s="269"/>
      <c r="CF47" s="237"/>
      <c r="CG47" s="256"/>
      <c r="CH47" s="969" t="str">
        <f ca="1">IF(BF5=1,TEXT('③入力（生命保険）'!AY5,"#,##＃"),"")</f>
        <v>120,000</v>
      </c>
      <c r="CI47" s="969"/>
      <c r="CJ47" s="969"/>
      <c r="CK47" s="969"/>
      <c r="CL47" s="235"/>
      <c r="CM47" s="262"/>
      <c r="CN47" s="262"/>
      <c r="CO47" s="262"/>
      <c r="CP47" s="262"/>
      <c r="CQ47" s="219"/>
      <c r="CR47" s="219"/>
      <c r="CS47" s="219"/>
      <c r="CT47" s="219"/>
      <c r="CU47" s="233"/>
      <c r="CV47" s="234"/>
      <c r="CW47" s="968"/>
      <c r="CX47" s="219"/>
      <c r="CY47" s="219"/>
      <c r="CZ47" s="219"/>
      <c r="DA47" s="264"/>
      <c r="DB47" s="264"/>
      <c r="DC47" s="264"/>
      <c r="DD47" s="219"/>
      <c r="DE47" s="219"/>
      <c r="DF47" s="219"/>
      <c r="DG47" s="219"/>
      <c r="DH47" s="219"/>
      <c r="DI47" s="219"/>
      <c r="DJ47" s="264"/>
      <c r="DK47" s="264"/>
      <c r="DL47" s="264"/>
      <c r="DM47" s="264"/>
      <c r="DN47" s="264"/>
      <c r="DO47" s="264"/>
      <c r="DP47" s="264"/>
      <c r="DQ47" s="265"/>
      <c r="DR47" s="265"/>
      <c r="DS47" s="265"/>
      <c r="DT47" s="219"/>
      <c r="DU47" s="219"/>
      <c r="DV47" s="219"/>
      <c r="DW47" s="219"/>
      <c r="DX47" s="219"/>
      <c r="DY47" s="219"/>
      <c r="DZ47" s="219"/>
      <c r="EA47" s="942"/>
      <c r="EB47" s="942"/>
      <c r="EC47" s="942"/>
      <c r="ED47" s="942"/>
      <c r="EE47" s="942"/>
      <c r="EF47" s="219"/>
    </row>
    <row r="48" spans="1:136" ht="10.5" customHeight="1">
      <c r="A48" s="149" t="s">
        <v>169</v>
      </c>
      <c r="B48" s="149">
        <f ca="1">'③入力（生命保険）'!M27-1</f>
        <v>4</v>
      </c>
      <c r="C48" s="149">
        <f ca="1">ROUNDUP(B48/3,0)</f>
        <v>2</v>
      </c>
      <c r="E48" s="130"/>
      <c r="BC48" s="130"/>
      <c r="BJ48" s="267"/>
      <c r="BK48" s="267"/>
      <c r="BL48" s="267"/>
      <c r="BM48" s="261"/>
      <c r="BN48" s="261"/>
      <c r="BO48" s="261"/>
      <c r="BP48" s="261"/>
      <c r="BQ48" s="261"/>
      <c r="BR48" s="269"/>
      <c r="BS48" s="269"/>
      <c r="BT48" s="269"/>
      <c r="BU48" s="269"/>
      <c r="BV48" s="269"/>
      <c r="BW48" s="269"/>
      <c r="BX48" s="256"/>
      <c r="BY48" s="270"/>
      <c r="BZ48" s="270"/>
      <c r="CA48" s="270"/>
      <c r="CB48" s="269"/>
      <c r="CC48" s="269"/>
      <c r="CD48" s="269"/>
      <c r="CE48" s="269"/>
      <c r="CF48" s="237"/>
      <c r="CG48" s="256"/>
      <c r="CH48" s="969"/>
      <c r="CI48" s="969"/>
      <c r="CJ48" s="969"/>
      <c r="CK48" s="969"/>
      <c r="CL48" s="271"/>
      <c r="CM48" s="219"/>
      <c r="CN48" s="219"/>
      <c r="CO48" s="219"/>
      <c r="CP48" s="219"/>
      <c r="CQ48" s="219"/>
      <c r="CR48" s="219"/>
      <c r="CS48" s="219"/>
      <c r="CT48" s="219"/>
      <c r="CU48" s="219"/>
      <c r="CV48" s="219"/>
      <c r="CW48" s="219"/>
      <c r="CX48" s="219"/>
      <c r="CY48" s="219"/>
      <c r="CZ48" s="264"/>
      <c r="DA48" s="264"/>
      <c r="DB48" s="264"/>
      <c r="DC48" s="264"/>
      <c r="DD48" s="219"/>
      <c r="DE48" s="219"/>
      <c r="DF48" s="219"/>
      <c r="DG48" s="219"/>
      <c r="DH48" s="219"/>
      <c r="DI48" s="219"/>
      <c r="DJ48" s="264"/>
      <c r="DK48" s="264"/>
      <c r="DL48" s="264"/>
      <c r="DM48" s="264"/>
      <c r="DN48" s="264"/>
      <c r="DO48" s="264"/>
      <c r="DP48" s="264"/>
      <c r="DQ48" s="265"/>
      <c r="DR48" s="265"/>
      <c r="DS48" s="265"/>
      <c r="DT48" s="265"/>
      <c r="DU48" s="219"/>
      <c r="DV48" s="219"/>
      <c r="DW48" s="219"/>
      <c r="DX48" s="219"/>
      <c r="DY48" s="219"/>
      <c r="DZ48" s="219"/>
      <c r="EA48" s="967" t="str">
        <f ca="1">IF(BF5=1,TEXT('④入力（地震・社会・小規模共済等）'!R20,"#,##＃"),"")</f>
        <v/>
      </c>
      <c r="EB48" s="967"/>
      <c r="EC48" s="967"/>
      <c r="ED48" s="967"/>
      <c r="EE48" s="967"/>
      <c r="EF48" s="219"/>
    </row>
    <row r="49" spans="1:136" ht="10.5" customHeight="1">
      <c r="A49" s="149" t="s">
        <v>170</v>
      </c>
      <c r="B49" s="149">
        <f>'④入力（地震・社会・小規模共済等）'!B34-1</f>
        <v>0</v>
      </c>
      <c r="C49" s="149">
        <f>ROUNDUP(B49/2,0)</f>
        <v>0</v>
      </c>
      <c r="E49" s="130"/>
      <c r="BC49" s="130"/>
      <c r="BF49" s="7"/>
      <c r="BI49" s="28"/>
      <c r="BJ49" s="220"/>
      <c r="BK49" s="219"/>
      <c r="BL49" s="219"/>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969"/>
      <c r="CI49" s="969"/>
      <c r="CJ49" s="969"/>
      <c r="CK49" s="969"/>
      <c r="CL49" s="271"/>
      <c r="CM49" s="219"/>
      <c r="CN49" s="219"/>
      <c r="CO49" s="219"/>
      <c r="CP49" s="219"/>
      <c r="CQ49" s="219"/>
      <c r="CR49" s="219"/>
      <c r="CS49" s="219"/>
      <c r="CT49" s="219"/>
      <c r="CU49" s="219"/>
      <c r="CV49" s="219"/>
      <c r="CW49" s="219"/>
      <c r="CX49" s="219"/>
      <c r="CY49" s="219"/>
      <c r="CZ49" s="219"/>
      <c r="DA49" s="219"/>
      <c r="DB49" s="219"/>
      <c r="DC49" s="219"/>
      <c r="DD49" s="219"/>
      <c r="DE49" s="219"/>
      <c r="DF49" s="219"/>
      <c r="DG49" s="219"/>
      <c r="DH49" s="219"/>
      <c r="DI49" s="219"/>
      <c r="DJ49" s="219"/>
      <c r="DK49" s="219"/>
      <c r="DL49" s="219"/>
      <c r="DM49" s="219"/>
      <c r="DN49" s="219"/>
      <c r="DO49" s="219"/>
      <c r="DP49" s="219"/>
      <c r="DQ49" s="219"/>
      <c r="DR49" s="219"/>
      <c r="DS49" s="219"/>
      <c r="DT49" s="219"/>
      <c r="DU49" s="219"/>
      <c r="DV49" s="219"/>
      <c r="DW49" s="219"/>
      <c r="DX49" s="219"/>
      <c r="DY49" s="219"/>
      <c r="DZ49" s="219"/>
      <c r="EA49" s="967"/>
      <c r="EB49" s="967"/>
      <c r="EC49" s="967"/>
      <c r="ED49" s="967"/>
      <c r="EE49" s="967"/>
      <c r="EF49" s="219"/>
    </row>
    <row r="50" spans="1:136" ht="10.5" customHeight="1">
      <c r="A50" s="149" t="s">
        <v>171</v>
      </c>
      <c r="B50" s="149">
        <f>'④入力（地震・社会・小規模共済等）'!B49-1</f>
        <v>0</v>
      </c>
      <c r="C50" s="149">
        <f>ROUNDUP(B50/2,0)</f>
        <v>0</v>
      </c>
      <c r="E50" s="130"/>
      <c r="BC50" s="130"/>
      <c r="BF50" s="7"/>
      <c r="BI50" s="28"/>
      <c r="BJ50" s="74"/>
      <c r="CF50" s="35"/>
      <c r="CG50" s="35"/>
      <c r="CH50" s="926" t="str" cm="1">
        <f t="array" aca="1" ref="CH50" ca="1">IF('③入力（生命保険）'!P32='③入力（生命保険）'!X32,"",'③入力（生命保険）'!A6:C6)</f>
        <v/>
      </c>
      <c r="CI50" s="926"/>
      <c r="CJ50" s="926"/>
      <c r="CK50" s="926"/>
      <c r="CL50" s="35"/>
      <c r="CM50" s="36"/>
      <c r="CN50" s="36"/>
      <c r="CO50" s="36"/>
      <c r="CP50" s="36"/>
    </row>
    <row r="51" spans="1:136" ht="11.25" customHeight="1">
      <c r="A51" s="161" t="s">
        <v>172</v>
      </c>
      <c r="B51" s="162">
        <f ca="1">SUM('③入力（生命保険）'!AF45:AH46)</f>
        <v>0</v>
      </c>
      <c r="C51" s="163"/>
      <c r="E51" s="130"/>
      <c r="BC51" s="130"/>
      <c r="CF51" s="35"/>
      <c r="CG51" s="35"/>
      <c r="CH51" s="926"/>
      <c r="CI51" s="926"/>
      <c r="CJ51" s="926"/>
      <c r="CK51" s="926"/>
      <c r="CL51" s="35"/>
    </row>
    <row r="52" spans="1:136" ht="11.25" customHeight="1">
      <c r="A52" s="22"/>
      <c r="B52" s="49"/>
      <c r="C52" s="147"/>
      <c r="E52" s="130"/>
      <c r="BC52" s="130"/>
      <c r="BM52" s="75"/>
      <c r="CF52" s="35"/>
      <c r="CG52" s="35"/>
      <c r="CH52" s="926"/>
      <c r="CI52" s="926"/>
      <c r="CJ52" s="926"/>
      <c r="CK52" s="926"/>
      <c r="CL52" s="35"/>
    </row>
    <row r="53" spans="1:136" ht="11.25" customHeight="1">
      <c r="E53" s="130"/>
      <c r="BC53" s="130"/>
      <c r="CF53" s="35"/>
      <c r="CG53" s="35"/>
      <c r="CH53" s="35"/>
      <c r="CI53" s="35"/>
      <c r="CJ53" s="35"/>
      <c r="CK53" s="35"/>
      <c r="CL53" s="35"/>
    </row>
    <row r="54" spans="1:136" ht="11.25" customHeight="1">
      <c r="E54" s="130"/>
      <c r="BC54" s="130"/>
      <c r="CF54" s="35"/>
      <c r="CG54" s="35"/>
      <c r="CH54" s="35"/>
      <c r="CI54" s="35"/>
      <c r="CJ54" s="35"/>
      <c r="CK54" s="35"/>
      <c r="CL54" s="35"/>
    </row>
    <row r="55" spans="1:136" ht="11.25" customHeight="1">
      <c r="E55" s="130"/>
      <c r="BC55" s="130"/>
      <c r="CF55" s="35"/>
      <c r="CG55" s="35"/>
      <c r="CH55" s="35"/>
      <c r="CI55" s="35"/>
      <c r="CJ55" s="35"/>
      <c r="CK55" s="35"/>
      <c r="CL55" s="35"/>
    </row>
    <row r="56" spans="1:136" ht="11.25" customHeight="1">
      <c r="E56" s="130"/>
      <c r="BC56" s="130"/>
    </row>
    <row r="57" spans="1:136" ht="11.25" customHeight="1">
      <c r="E57" s="130"/>
      <c r="BC57" s="130"/>
    </row>
    <row r="58" spans="1:136" ht="11.25" customHeight="1">
      <c r="E58" s="130"/>
      <c r="BC58" s="130"/>
    </row>
    <row r="59" spans="1:136" ht="11.25" customHeight="1">
      <c r="E59" s="130"/>
      <c r="BC59" s="130"/>
    </row>
    <row r="60" spans="1:136" ht="11.25" customHeight="1">
      <c r="E60" s="130"/>
      <c r="BC60" s="130"/>
    </row>
    <row r="61" spans="1:136" ht="11.25" customHeight="1">
      <c r="E61" s="130"/>
      <c r="BC61" s="130"/>
    </row>
    <row r="62" spans="1:136" ht="11.25" customHeight="1">
      <c r="E62" s="130"/>
      <c r="BC62" s="130"/>
    </row>
    <row r="63" spans="1:136" ht="11.25" customHeight="1">
      <c r="E63" s="130"/>
      <c r="BC63" s="130"/>
    </row>
    <row r="64" spans="1:136" ht="11.25" customHeight="1">
      <c r="E64" s="130"/>
      <c r="BC64" s="130"/>
    </row>
    <row r="65" spans="5:55" ht="9.75" customHeight="1">
      <c r="E65" s="130"/>
      <c r="BC65" s="130"/>
    </row>
    <row r="66" spans="5:55">
      <c r="E66" s="130"/>
      <c r="BC66" s="130"/>
    </row>
    <row r="67" spans="5:55">
      <c r="E67" s="130"/>
      <c r="BC67" s="130"/>
    </row>
    <row r="68" spans="5:55">
      <c r="E68" s="130"/>
      <c r="BC68" s="130"/>
    </row>
    <row r="69" spans="5:55">
      <c r="E69" s="130"/>
      <c r="BC69" s="130"/>
    </row>
    <row r="70" spans="5:55">
      <c r="E70" s="130"/>
      <c r="BC70" s="130"/>
    </row>
    <row r="71" spans="5:55">
      <c r="E71" s="130"/>
      <c r="BC71" s="130"/>
    </row>
    <row r="72" spans="5:55">
      <c r="E72" s="130"/>
      <c r="BC72" s="130"/>
    </row>
    <row r="73" spans="5:55">
      <c r="E73" s="130"/>
      <c r="BC73" s="130"/>
    </row>
    <row r="74" spans="5:55">
      <c r="E74" s="130"/>
      <c r="BC74" s="130"/>
    </row>
    <row r="75" spans="5:55">
      <c r="E75" s="130"/>
      <c r="BC75" s="130"/>
    </row>
    <row r="76" spans="5:55">
      <c r="E76" s="130"/>
      <c r="BC76" s="130"/>
    </row>
    <row r="77" spans="5:55">
      <c r="E77" s="130"/>
      <c r="BC77" s="130"/>
    </row>
    <row r="78" spans="5:55">
      <c r="E78" s="130"/>
      <c r="BC78" s="130"/>
    </row>
    <row r="79" spans="5:55">
      <c r="E79" s="130"/>
      <c r="BC79" s="130"/>
    </row>
    <row r="80" spans="5:55">
      <c r="E80" s="130"/>
      <c r="BC80" s="130"/>
    </row>
    <row r="81" spans="5:55">
      <c r="E81" s="130"/>
      <c r="BC81" s="130"/>
    </row>
    <row r="82" spans="5:55">
      <c r="E82" s="130"/>
      <c r="BC82" s="130"/>
    </row>
    <row r="83" spans="5:55">
      <c r="E83" s="130"/>
      <c r="BC83" s="130"/>
    </row>
    <row r="84" spans="5:55">
      <c r="E84" s="130"/>
      <c r="BC84" s="130"/>
    </row>
    <row r="85" spans="5:55">
      <c r="E85" s="130"/>
      <c r="BC85" s="130"/>
    </row>
    <row r="86" spans="5:55">
      <c r="E86" s="130"/>
      <c r="BC86" s="130"/>
    </row>
    <row r="87" spans="5:55">
      <c r="E87" s="130"/>
      <c r="BC87" s="130"/>
    </row>
    <row r="88" spans="5:55">
      <c r="E88" s="130"/>
      <c r="BC88" s="130"/>
    </row>
    <row r="89" spans="5:55">
      <c r="E89" s="130"/>
      <c r="BC89" s="130"/>
    </row>
    <row r="90" spans="5:55">
      <c r="E90" s="130"/>
      <c r="BC90" s="130"/>
    </row>
    <row r="91" spans="5:55">
      <c r="E91" s="130"/>
      <c r="BC91" s="130"/>
    </row>
    <row r="92" spans="5:55">
      <c r="E92" s="130"/>
      <c r="BC92" s="130"/>
    </row>
    <row r="93" spans="5:55">
      <c r="E93" s="130"/>
      <c r="BC93" s="130"/>
    </row>
    <row r="94" spans="5:55">
      <c r="E94" s="130"/>
      <c r="BC94" s="130"/>
    </row>
    <row r="95" spans="5:55">
      <c r="E95" s="130"/>
      <c r="BC95" s="130"/>
    </row>
    <row r="96" spans="5:55">
      <c r="E96" s="130"/>
      <c r="BC96" s="130"/>
    </row>
    <row r="97" spans="5:55">
      <c r="E97" s="130"/>
      <c r="BC97" s="130"/>
    </row>
    <row r="98" spans="5:55">
      <c r="E98" s="130"/>
      <c r="BC98" s="130"/>
    </row>
    <row r="99" spans="5:55" ht="6.75" customHeight="1">
      <c r="E99" s="130"/>
      <c r="BC99" s="130"/>
    </row>
    <row r="100" spans="5:55">
      <c r="E100" s="130"/>
      <c r="BC100" s="130"/>
    </row>
    <row r="101" spans="5:55" ht="33" customHeight="1">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row>
  </sheetData>
  <mergeCells count="289">
    <mergeCell ref="BJ39:BN39"/>
    <mergeCell ref="BO29:BQ29"/>
    <mergeCell ref="BJ16:BN16"/>
    <mergeCell ref="BJ17:BN17"/>
    <mergeCell ref="BJ18:BN18"/>
    <mergeCell ref="BJ19:BN19"/>
    <mergeCell ref="BO37:BQ37"/>
    <mergeCell ref="BO17:BQ17"/>
    <mergeCell ref="BO18:BQ18"/>
    <mergeCell ref="BO19:BQ19"/>
    <mergeCell ref="BO35:BQ35"/>
    <mergeCell ref="BM32:BP33"/>
    <mergeCell ref="BJ35:BN35"/>
    <mergeCell ref="CM34:CM35"/>
    <mergeCell ref="CO35:CP35"/>
    <mergeCell ref="EA25:ED26"/>
    <mergeCell ref="DF29:DM30"/>
    <mergeCell ref="CZ29:DE30"/>
    <mergeCell ref="DG23:DL24"/>
    <mergeCell ref="DN29:DT30"/>
    <mergeCell ref="CZ31:DE32"/>
    <mergeCell ref="DF31:DM32"/>
    <mergeCell ref="DZ33:EE34"/>
    <mergeCell ref="CW31:CW32"/>
    <mergeCell ref="CQ28:CS29"/>
    <mergeCell ref="DY31:EE32"/>
    <mergeCell ref="DY29:EE30"/>
    <mergeCell ref="EA23:EE24"/>
    <mergeCell ref="DV29:DX30"/>
    <mergeCell ref="CM26:CM27"/>
    <mergeCell ref="CM28:CM29"/>
    <mergeCell ref="CM30:CM31"/>
    <mergeCell ref="CW29:CW30"/>
    <mergeCell ref="CQ26:CS27"/>
    <mergeCell ref="CQ34:CS35"/>
    <mergeCell ref="A5:C9"/>
    <mergeCell ref="A1:C2"/>
    <mergeCell ref="BR2:BS2"/>
    <mergeCell ref="BJ1:BN1"/>
    <mergeCell ref="BO1:BQ1"/>
    <mergeCell ref="BR9:BT9"/>
    <mergeCell ref="BR14:BS15"/>
    <mergeCell ref="BJ2:BN2"/>
    <mergeCell ref="BO2:BQ2"/>
    <mergeCell ref="BM3:BO3"/>
    <mergeCell ref="BR1:BS1"/>
    <mergeCell ref="BT1:BW1"/>
    <mergeCell ref="BT2:BW2"/>
    <mergeCell ref="BG14:BG15"/>
    <mergeCell ref="BJ14:BN14"/>
    <mergeCell ref="BJ15:BN15"/>
    <mergeCell ref="BO15:BQ15"/>
    <mergeCell ref="BO9:BQ9"/>
    <mergeCell ref="BO14:BQ14"/>
    <mergeCell ref="EB20:EE21"/>
    <mergeCell ref="ED1:EF1"/>
    <mergeCell ref="DM2:DR2"/>
    <mergeCell ref="CZ2:DE2"/>
    <mergeCell ref="DF2:DJ2"/>
    <mergeCell ref="CZ1:DE1"/>
    <mergeCell ref="DF1:DJ1"/>
    <mergeCell ref="DK2:DL2"/>
    <mergeCell ref="DX1:EC1"/>
    <mergeCell ref="DU1:DW1"/>
    <mergeCell ref="DK15:DL17"/>
    <mergeCell ref="DM17:DR17"/>
    <mergeCell ref="DF12:DJ13"/>
    <mergeCell ref="DS1:DT1"/>
    <mergeCell ref="DF3:DH3"/>
    <mergeCell ref="DM1:DR1"/>
    <mergeCell ref="CZ12:DE13"/>
    <mergeCell ref="CZ14:DE14"/>
    <mergeCell ref="DF9:DJ9"/>
    <mergeCell ref="CZ15:DE16"/>
    <mergeCell ref="CZ17:DE17"/>
    <mergeCell ref="CX15:CX16"/>
    <mergeCell ref="CH22:CK23"/>
    <mergeCell ref="CH24:CK25"/>
    <mergeCell ref="CF18:CI19"/>
    <mergeCell ref="CK14:CL15"/>
    <mergeCell ref="CQ14:CS15"/>
    <mergeCell ref="CW15:CW17"/>
    <mergeCell ref="CQ20:CS21"/>
    <mergeCell ref="CK20:CL21"/>
    <mergeCell ref="CM20:CM21"/>
    <mergeCell ref="CF16:CI17"/>
    <mergeCell ref="CK16:CL17"/>
    <mergeCell ref="CD30:CE31"/>
    <mergeCell ref="CK30:CL31"/>
    <mergeCell ref="BJ30:BN30"/>
    <mergeCell ref="BJ31:BN31"/>
    <mergeCell ref="BJ34:BN34"/>
    <mergeCell ref="CK26:CL27"/>
    <mergeCell ref="CD18:CE19"/>
    <mergeCell ref="BT34:BW35"/>
    <mergeCell ref="CK34:CL35"/>
    <mergeCell ref="CH32:CK33"/>
    <mergeCell ref="CF34:CI35"/>
    <mergeCell ref="CF28:CI29"/>
    <mergeCell ref="CF20:CI21"/>
    <mergeCell ref="BX26:CA27"/>
    <mergeCell ref="BO21:BQ21"/>
    <mergeCell ref="BT20:BW21"/>
    <mergeCell ref="CD28:CE29"/>
    <mergeCell ref="BO27:BQ27"/>
    <mergeCell ref="BO26:BQ26"/>
    <mergeCell ref="BM22:BP23"/>
    <mergeCell ref="BT28:BW29"/>
    <mergeCell ref="BO28:BQ28"/>
    <mergeCell ref="CF26:CI27"/>
    <mergeCell ref="CD20:CE21"/>
    <mergeCell ref="BX1:CA1"/>
    <mergeCell ref="CB1:CC1"/>
    <mergeCell ref="CD1:CE1"/>
    <mergeCell ref="CD2:CE2"/>
    <mergeCell ref="CF1:CJ1"/>
    <mergeCell ref="CD26:CE27"/>
    <mergeCell ref="CB2:CC2"/>
    <mergeCell ref="DK1:DL1"/>
    <mergeCell ref="CM14:CM15"/>
    <mergeCell ref="CM16:CM17"/>
    <mergeCell ref="CM18:CM19"/>
    <mergeCell ref="CB14:CC15"/>
    <mergeCell ref="CF2:CJ2"/>
    <mergeCell ref="BX20:CA21"/>
    <mergeCell ref="BY22:CB23"/>
    <mergeCell ref="BY24:CB25"/>
    <mergeCell ref="CB20:CC21"/>
    <mergeCell ref="CK2:CL2"/>
    <mergeCell ref="CK1:CL1"/>
    <mergeCell ref="CF6:CJ6"/>
    <mergeCell ref="CF4:CJ4"/>
    <mergeCell ref="CF5:CJ5"/>
    <mergeCell ref="BX2:CA2"/>
    <mergeCell ref="CX12:CX13"/>
    <mergeCell ref="EA46:EE47"/>
    <mergeCell ref="EA48:EE49"/>
    <mergeCell ref="CF38:CI39"/>
    <mergeCell ref="CK38:CL39"/>
    <mergeCell ref="CF36:CI37"/>
    <mergeCell ref="CK36:CL37"/>
    <mergeCell ref="CW42:CW43"/>
    <mergeCell ref="EA42:EE43"/>
    <mergeCell ref="CW46:CW47"/>
    <mergeCell ref="EA44:EE45"/>
    <mergeCell ref="CW44:CW45"/>
    <mergeCell ref="CQ38:CS39"/>
    <mergeCell ref="CH47:CK49"/>
    <mergeCell ref="CH42:CK43"/>
    <mergeCell ref="EA40:EE41"/>
    <mergeCell ref="CW40:CW41"/>
    <mergeCell ref="CQ36:CS37"/>
    <mergeCell ref="CM36:CM37"/>
    <mergeCell ref="CM38:CM39"/>
    <mergeCell ref="CH40:CK41"/>
    <mergeCell ref="CO37:CP37"/>
    <mergeCell ref="CO39:CP39"/>
    <mergeCell ref="BM40:BP41"/>
    <mergeCell ref="BG36:BG37"/>
    <mergeCell ref="CB36:CC37"/>
    <mergeCell ref="BX36:CA36"/>
    <mergeCell ref="BZ37:CA37"/>
    <mergeCell ref="BT36:BW37"/>
    <mergeCell ref="BM42:BP43"/>
    <mergeCell ref="CD36:CE37"/>
    <mergeCell ref="BO36:BQ36"/>
    <mergeCell ref="BJ36:BN36"/>
    <mergeCell ref="BG38:BG39"/>
    <mergeCell ref="BO38:BQ38"/>
    <mergeCell ref="BT38:BW39"/>
    <mergeCell ref="CB38:CC39"/>
    <mergeCell ref="CD38:CE39"/>
    <mergeCell ref="BO39:BQ39"/>
    <mergeCell ref="BR38:BS39"/>
    <mergeCell ref="BX38:CA38"/>
    <mergeCell ref="BZ39:CA39"/>
    <mergeCell ref="BY40:CB41"/>
    <mergeCell ref="BY42:CB43"/>
    <mergeCell ref="BJ37:BN37"/>
    <mergeCell ref="BJ38:BN38"/>
    <mergeCell ref="CM6:CN6"/>
    <mergeCell ref="DV31:DX32"/>
    <mergeCell ref="BG30:BG31"/>
    <mergeCell ref="BO30:BQ30"/>
    <mergeCell ref="CQ30:CS31"/>
    <mergeCell ref="BT30:BW31"/>
    <mergeCell ref="BX30:CA31"/>
    <mergeCell ref="BR30:BS31"/>
    <mergeCell ref="BR34:BS35"/>
    <mergeCell ref="BX34:CA34"/>
    <mergeCell ref="BZ35:CA35"/>
    <mergeCell ref="CB34:CC35"/>
    <mergeCell ref="BO31:BQ31"/>
    <mergeCell ref="DN31:DT32"/>
    <mergeCell ref="CB26:CC27"/>
    <mergeCell ref="BX28:CA29"/>
    <mergeCell ref="BR28:BS29"/>
    <mergeCell ref="CB28:CC29"/>
    <mergeCell ref="CD34:CE35"/>
    <mergeCell ref="CF30:CI31"/>
    <mergeCell ref="BY9:CB9"/>
    <mergeCell ref="CD16:CE17"/>
    <mergeCell ref="CK28:CL29"/>
    <mergeCell ref="CB30:CC31"/>
    <mergeCell ref="FL2:FX3"/>
    <mergeCell ref="EQ2:FA2"/>
    <mergeCell ref="ED12:EF14"/>
    <mergeCell ref="FN11:FO11"/>
    <mergeCell ref="FJ11:FK11"/>
    <mergeCell ref="DF14:DJ14"/>
    <mergeCell ref="DK12:DL14"/>
    <mergeCell ref="FX4:FX5"/>
    <mergeCell ref="FR4:FR5"/>
    <mergeCell ref="EQ3:FA4"/>
    <mergeCell ref="DK9:DO9"/>
    <mergeCell ref="FF5:FH6"/>
    <mergeCell ref="DS2:DT2"/>
    <mergeCell ref="DU2:DW2"/>
    <mergeCell ref="DX2:EC2"/>
    <mergeCell ref="ED2:EF2"/>
    <mergeCell ref="EL12:EL14"/>
    <mergeCell ref="DM12:DT13"/>
    <mergeCell ref="DM14:DR14"/>
    <mergeCell ref="DS14:DT14"/>
    <mergeCell ref="EG12:EG14"/>
    <mergeCell ref="FS4:FS5"/>
    <mergeCell ref="FT4:FT5"/>
    <mergeCell ref="FU4:FU5"/>
    <mergeCell ref="EQ5:FA6"/>
    <mergeCell ref="FT11:FY11"/>
    <mergeCell ref="ED11:EE11"/>
    <mergeCell ref="DX13:EB14"/>
    <mergeCell ref="FV4:FV5"/>
    <mergeCell ref="FW4:FW5"/>
    <mergeCell ref="FL4:FL5"/>
    <mergeCell ref="FM4:FM5"/>
    <mergeCell ref="FN4:FN5"/>
    <mergeCell ref="FP4:FP5"/>
    <mergeCell ref="FQ4:FQ5"/>
    <mergeCell ref="FL6:FX7"/>
    <mergeCell ref="FO4:FO5"/>
    <mergeCell ref="EL15:EL17"/>
    <mergeCell ref="DM15:DT16"/>
    <mergeCell ref="CW12:CW14"/>
    <mergeCell ref="DF17:DJ17"/>
    <mergeCell ref="BT14:BW15"/>
    <mergeCell ref="DF16:DJ16"/>
    <mergeCell ref="CK18:CL19"/>
    <mergeCell ref="DU15:DW17"/>
    <mergeCell ref="DU12:DW14"/>
    <mergeCell ref="BX18:CA19"/>
    <mergeCell ref="ED15:EF17"/>
    <mergeCell ref="CQ16:CS17"/>
    <mergeCell ref="BX16:CA17"/>
    <mergeCell ref="CB16:CC17"/>
    <mergeCell ref="EG15:EG17"/>
    <mergeCell ref="DS17:DT17"/>
    <mergeCell ref="EB18:EE19"/>
    <mergeCell ref="CQ18:CS19"/>
    <mergeCell ref="CF14:CI15"/>
    <mergeCell ref="BX14:CA15"/>
    <mergeCell ref="DX16:EB17"/>
    <mergeCell ref="BT16:BW17"/>
    <mergeCell ref="CB18:CC19"/>
    <mergeCell ref="CD14:CE15"/>
    <mergeCell ref="CH50:CK52"/>
    <mergeCell ref="BR20:BS21"/>
    <mergeCell ref="BT26:BW27"/>
    <mergeCell ref="BG28:BG29"/>
    <mergeCell ref="BG26:BG27"/>
    <mergeCell ref="BG16:BG17"/>
    <mergeCell ref="BG18:BG19"/>
    <mergeCell ref="BG20:BG21"/>
    <mergeCell ref="BJ27:BN27"/>
    <mergeCell ref="BJ28:BN28"/>
    <mergeCell ref="BJ29:BN29"/>
    <mergeCell ref="BR16:BS17"/>
    <mergeCell ref="BR18:BS19"/>
    <mergeCell ref="BM24:BP25"/>
    <mergeCell ref="BR26:BS27"/>
    <mergeCell ref="BO20:BQ20"/>
    <mergeCell ref="BJ26:BN26"/>
    <mergeCell ref="BJ20:BN20"/>
    <mergeCell ref="BJ21:BN21"/>
    <mergeCell ref="BT18:BW19"/>
    <mergeCell ref="BO16:BQ16"/>
    <mergeCell ref="BG34:BG35"/>
    <mergeCell ref="BO34:BQ34"/>
    <mergeCell ref="BR36:BS37"/>
  </mergeCells>
  <phoneticPr fontId="2"/>
  <dataValidations count="1">
    <dataValidation type="list" allowBlank="1" showInputMessage="1" showErrorMessage="1" sqref="B4" xr:uid="{00000000-0002-0000-0600-000000000000}">
      <formula1>$A$11:$A$16</formula1>
    </dataValidation>
  </dataValidations>
  <pageMargins left="0.2" right="0.2" top="0.35" bottom="0.14000000000000001" header="0.4" footer="0.3"/>
  <pageSetup paperSize="9" orientation="landscape" r:id="rId1"/>
  <ignoredErrors>
    <ignoredError sqref="BJ32:BQ33 BP15:BQ15 BO16:BQ17 BP26:BQ26 BP34:BQ34 BP27:BQ27 BO28:BQ31 BO27 BP35:BQ35 BO36:BQ39 BO35 BO19:BQ21 BP18:BQ18"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設定</vt:lpstr>
      <vt:lpstr>①入力(基礎控除)</vt:lpstr>
      <vt:lpstr>②印刷(基礎控除)</vt:lpstr>
      <vt:lpstr>③入力（生命保険）</vt:lpstr>
      <vt:lpstr>④入力（地震・社会・小規模共済等）</vt:lpstr>
      <vt:lpstr>⑤印刷（保険控除）</vt:lpstr>
      <vt:lpstr>'①入力(基礎控除)'!Print_Area</vt:lpstr>
      <vt:lpstr>'②印刷(基礎控除)'!Print_Area</vt:lpstr>
      <vt:lpstr>'③入力（生命保険）'!Print_Area</vt:lpstr>
      <vt:lpstr>'④入力（地震・社会・小規模共済等）'!Print_Area</vt:lpstr>
      <vt:lpstr>'⑤印刷（保険控除）'!Print_Area</vt:lpstr>
      <vt:lpstr>社保入力</vt:lpstr>
      <vt:lpstr>小規模入力</vt:lpstr>
      <vt:lpstr>新旧</vt:lpstr>
      <vt:lpstr>地震入力</vt:lpstr>
      <vt:lpstr>入力一般</vt:lpstr>
      <vt:lpstr>入力介護</vt:lpstr>
      <vt:lpstr>入力年金</vt:lpstr>
      <vt:lpstr>入力年金２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孝康 髙山</cp:lastModifiedBy>
  <cp:lastPrinted>2024-09-23T04:48:43Z</cp:lastPrinted>
  <dcterms:created xsi:type="dcterms:W3CDTF">2022-11-17T22:52:50Z</dcterms:created>
  <dcterms:modified xsi:type="dcterms:W3CDTF">2024-10-06T01:34:46Z</dcterms:modified>
</cp:coreProperties>
</file>